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Вера\9-6\ОСС\Голосование 2023\Итог\"/>
    </mc:Choice>
  </mc:AlternateContent>
  <bookViews>
    <workbookView xWindow="0" yWindow="0" windowWidth="28800" windowHeight="12000"/>
  </bookViews>
  <sheets>
    <sheet name="Тарифы для ОСС_жилье" sheetId="1" r:id="rId1"/>
    <sheet name="Разъяснения" sheetId="3" r:id="rId2"/>
    <sheet name="Лифты_формула" sheetId="4" state="hidden" r:id="rId3"/>
  </sheets>
  <externalReferences>
    <externalReference r:id="rId4"/>
  </externalReferences>
  <definedNames>
    <definedName name="\эвфзкудк" hidden="1">#REF!,#REF!,#REF!</definedName>
    <definedName name="csDesignMode">1</definedName>
    <definedName name="EUR_C">#REF!</definedName>
    <definedName name="EUR_O">#REF!</definedName>
    <definedName name="Excel_BuiltIn_Print_Area">#REF!</definedName>
    <definedName name="f" localSheetId="0" hidden="1">#REF!,#REF!,#REF!</definedName>
    <definedName name="f" hidden="1">#REF!,#REF!,#REF!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localSheetId="0" hidden="1">#REF!,#REF!</definedName>
    <definedName name="Z_0885457D_12CF_4923_864D_998BA35CE01D_.wvu.Cols" hidden="1">#REF!,#REF!</definedName>
    <definedName name="Z_0885457D_12CF_4923_864D_998BA35CE01D_.wvu.Rows" localSheetId="0" hidden="1">#REF!,#REF!,#REF!</definedName>
    <definedName name="Z_0885457D_12CF_4923_864D_998BA35CE01D_.wvu.Rows" hidden="1">#REF!,#REF!,#REF!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localSheetId="0" hidden="1">#REF!,#REF!</definedName>
    <definedName name="Z_144EA558_4B8B_4239_858D_3D3B320E64FA_.wvu.Cols" hidden="1">#REF!,#REF!</definedName>
    <definedName name="Z_144EA558_4B8B_4239_858D_3D3B320E64FA_.wvu.PrintArea" localSheetId="0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localSheetId="0" hidden="1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08" localSheetId="0" hidden="1">#REF!,#REF!</definedName>
    <definedName name="А08" hidden="1">#REF!,#REF!</definedName>
    <definedName name="аа">#REF!</definedName>
    <definedName name="ааа" localSheetId="0">#REF!</definedName>
    <definedName name="ааа">#REF!</definedName>
    <definedName name="авг" localSheetId="0" hidden="1">#REF!,#REF!,#REF!</definedName>
    <definedName name="авг" hidden="1">#REF!,#REF!,#REF!</definedName>
    <definedName name="Август" localSheetId="0" hidden="1">#REF!,#REF!</definedName>
    <definedName name="Август" hidden="1">#REF!,#REF!</definedName>
    <definedName name="август13" localSheetId="0" hidden="1">#REF!,#REF!</definedName>
    <definedName name="август13" hidden="1">#REF!,#REF!</definedName>
    <definedName name="август2013" localSheetId="0">#REF!</definedName>
    <definedName name="август2013">#REF!</definedName>
    <definedName name="авп">#REF!</definedName>
    <definedName name="ае6н6" hidden="1">#REF!,#REF!</definedName>
    <definedName name="аклело" hidden="1">#REF!,#REF!,#REF!</definedName>
    <definedName name="апяавп" hidden="1">#REF!,#REF!,#REF!</definedName>
    <definedName name="АУП_01">#REF!</definedName>
    <definedName name="ачрпап">#REF!</definedName>
    <definedName name="БДР_12" hidden="1">#REF!,#REF!</definedName>
    <definedName name="БДР_2011">#REF!</definedName>
    <definedName name="борбопб">#REF!</definedName>
    <definedName name="борп" hidden="1">#REF!</definedName>
    <definedName name="боьирб" hidden="1">#REF!</definedName>
    <definedName name="боьпиб" hidden="1">#REF!</definedName>
    <definedName name="бьр">#REF!</definedName>
    <definedName name="вар">#REF!</definedName>
    <definedName name="вара" hidden="1">#REF!</definedName>
    <definedName name="вари" hidden="1">#REF!</definedName>
    <definedName name="варр" hidden="1">#REF!</definedName>
    <definedName name="варш">#REF!</definedName>
    <definedName name="вп" hidden="1">#REF!</definedName>
    <definedName name="впв" hidden="1">#REF!</definedName>
    <definedName name="впива">#REF!</definedName>
    <definedName name="вприварпи" hidden="1">#REF!</definedName>
    <definedName name="вра">#REF!</definedName>
    <definedName name="врав" hidden="1">#REF!</definedName>
    <definedName name="врапр" hidden="1">#REF!</definedName>
    <definedName name="врва" hidden="1">#REF!</definedName>
    <definedName name="врвр" hidden="1">#REF!</definedName>
    <definedName name="врп" hidden="1">#REF!</definedName>
    <definedName name="врпр">#REF!</definedName>
    <definedName name="врр">#REF!</definedName>
    <definedName name="вря">#REF!</definedName>
    <definedName name="газ">#REF!</definedName>
    <definedName name="длэл" hidden="1">#REF!</definedName>
    <definedName name="Евро">[1]плат.календарь!#REF!</definedName>
    <definedName name="еееееее" hidden="1">#REF!</definedName>
    <definedName name="ено">#REF!</definedName>
    <definedName name="еуек" hidden="1">#REF!,#REF!</definedName>
    <definedName name="ж58545">#REF!</definedName>
    <definedName name="жадпо" hidden="1">#REF!,#REF!,#REF!</definedName>
    <definedName name="ждож">#REF!</definedName>
    <definedName name="жз" hidden="1">#REF!,#REF!</definedName>
    <definedName name="има" localSheetId="0" hidden="1">#REF!,#REF!,#REF!</definedName>
    <definedName name="има" hidden="1">#REF!,#REF!,#REF!</definedName>
    <definedName name="Иностранцы" hidden="1">#REF!,#REF!</definedName>
    <definedName name="ипрне">#REF!</definedName>
    <definedName name="ЙЦУц" hidden="1">#REF!,#REF!,#REF!</definedName>
    <definedName name="капя">#REF!</definedName>
    <definedName name="ккк">#REF!</definedName>
    <definedName name="лазурное" localSheetId="0">#REF!</definedName>
    <definedName name="лазурное">#REF!</definedName>
    <definedName name="лллл" localSheetId="0" hidden="1">#REF!,#REF!,#REF!</definedName>
    <definedName name="лллл" hidden="1">#REF!,#REF!,#REF!</definedName>
    <definedName name="лог">#REF!</definedName>
    <definedName name="лор" hidden="1">#REF!</definedName>
    <definedName name="льтрдо" hidden="1">#REF!</definedName>
    <definedName name="МАЙ">#REF!</definedName>
    <definedName name="мир" localSheetId="0">#REF!</definedName>
    <definedName name="мир">#REF!</definedName>
    <definedName name="монблан" localSheetId="0" hidden="1">#REF!,#REF!,#REF!</definedName>
    <definedName name="монблан" hidden="1">#REF!,#REF!,#REF!</definedName>
    <definedName name="НДС">#REF!</definedName>
    <definedName name="новый" hidden="1">#REF!,#REF!,#REF!</definedName>
    <definedName name="о" hidden="1">#REF!,#REF!,#REF!</definedName>
    <definedName name="оаош">#REF!</definedName>
    <definedName name="_xlnm.Print_Area" localSheetId="1">Разъяснения!$A$3:$T$40</definedName>
    <definedName name="_xlnm.Print_Area" localSheetId="0">'Тарифы для ОСС_жилье'!$A$1:$G$26</definedName>
    <definedName name="_xlnm.Print_Area">#REF!</definedName>
    <definedName name="объектымай" hidden="1">#REF!,#REF!</definedName>
    <definedName name="ольплб" hidden="1">#REF!</definedName>
    <definedName name="ооргшн" hidden="1">#REF!,#REF!</definedName>
    <definedName name="оплло">#REF!</definedName>
    <definedName name="орш8789" hidden="1">#REF!,#REF!,#REF!</definedName>
    <definedName name="павп">#REF!</definedName>
    <definedName name="пв">#REF!</definedName>
    <definedName name="пмарплго" hidden="1">#REF!,#REF!</definedName>
    <definedName name="ппп" localSheetId="0">#REF!</definedName>
    <definedName name="ппп">#REF!</definedName>
    <definedName name="пр" hidden="1">#REF!,#REF!,#REF!</definedName>
    <definedName name="пулковская">#REF!</definedName>
    <definedName name="рвар">#REF!</definedName>
    <definedName name="рдо" hidden="1">#REF!</definedName>
    <definedName name="рплп">#REF!</definedName>
    <definedName name="ррррр" hidden="1">#REF!</definedName>
    <definedName name="срочные">[1]плат.календарь!#REF!</definedName>
    <definedName name="тося">#REF!</definedName>
    <definedName name="ф">#REF!</definedName>
    <definedName name="ФОТобъектымай" hidden="1">#REF!,#REF!</definedName>
    <definedName name="фуыку" hidden="1">#REF!,#REF!,#REF!</definedName>
    <definedName name="фя\кк" hidden="1">#REF!,#REF!,#REF!</definedName>
    <definedName name="х_265" localSheetId="0" hidden="1">#REF!,#REF!,#REF!</definedName>
    <definedName name="х_265" hidden="1">#REF!,#REF!,#REF!</definedName>
    <definedName name="хзщзш" hidden="1">#REF!,#REF!,#REF!</definedName>
    <definedName name="цквв">#REF!</definedName>
    <definedName name="щзэ" hidden="1">#REF!</definedName>
    <definedName name="ыкпкы">#REF!</definedName>
    <definedName name="ьоп" hidden="1">#REF!</definedName>
    <definedName name="ьрлоп" hidden="1">#REF!</definedName>
    <definedName name="эжзд">#REF!</definedName>
    <definedName name="юз" localSheetId="0" hidden="1">#REF!,#REF!,#REF!</definedName>
    <definedName name="юз" hidden="1">#REF!,#REF!,#REF!</definedName>
    <definedName name="ЮЗ13" hidden="1">#REF!,#REF!</definedName>
    <definedName name="юююююююююююю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33" i="3" l="1"/>
  <c r="C32" i="3" l="1"/>
  <c r="J10" i="3" l="1"/>
  <c r="K12" i="3" l="1"/>
  <c r="K10" i="3"/>
  <c r="C34" i="3"/>
  <c r="J14" i="3" l="1"/>
  <c r="F14" i="3"/>
  <c r="B19" i="3" l="1"/>
  <c r="E10" i="3" l="1"/>
  <c r="H10" i="3" s="1"/>
  <c r="E11" i="3"/>
  <c r="G11" i="3" s="1"/>
  <c r="E12" i="3"/>
  <c r="L12" i="3"/>
  <c r="E35" i="4"/>
  <c r="B10" i="4"/>
  <c r="E32" i="4"/>
  <c r="E31" i="4"/>
  <c r="E24" i="4"/>
  <c r="E23" i="4"/>
  <c r="E25" i="4" s="1"/>
  <c r="E16" i="4"/>
  <c r="E15" i="4"/>
  <c r="E17" i="4" s="1"/>
  <c r="B7" i="4"/>
  <c r="C19" i="3"/>
  <c r="F19" i="3" s="1"/>
  <c r="C31" i="3"/>
  <c r="C30" i="3"/>
  <c r="L10" i="3"/>
  <c r="B6" i="3"/>
  <c r="G24" i="1"/>
  <c r="F24" i="1"/>
  <c r="D8" i="1"/>
  <c r="F21" i="1"/>
  <c r="G21" i="1"/>
  <c r="F26" i="1"/>
  <c r="G26" i="1"/>
  <c r="G25" i="1"/>
  <c r="F25" i="1"/>
  <c r="F10" i="1"/>
  <c r="G10" i="1"/>
  <c r="F12" i="1"/>
  <c r="G12" i="1"/>
  <c r="F13" i="1"/>
  <c r="G13" i="1"/>
  <c r="F14" i="1"/>
  <c r="G14" i="1"/>
  <c r="F15" i="1"/>
  <c r="G15" i="1"/>
  <c r="F16" i="1"/>
  <c r="G16" i="1"/>
  <c r="F17" i="1"/>
  <c r="G17" i="1"/>
  <c r="F19" i="1"/>
  <c r="G19" i="1"/>
  <c r="E33" i="4" l="1"/>
  <c r="E37" i="4" s="1"/>
  <c r="E39" i="4" s="1"/>
  <c r="I10" i="3"/>
  <c r="L11" i="3"/>
  <c r="K11" i="3"/>
  <c r="G12" i="3"/>
  <c r="H12" i="3" s="1"/>
  <c r="I12" i="3" s="1"/>
  <c r="C35" i="3"/>
  <c r="M10" i="3" s="1"/>
  <c r="C39" i="3"/>
  <c r="C40" i="3" s="1"/>
  <c r="M14" i="3" s="1"/>
  <c r="K14" i="3"/>
  <c r="L14" i="3"/>
  <c r="D14" i="3"/>
  <c r="E14" i="3" s="1"/>
  <c r="H11" i="3"/>
  <c r="G19" i="3"/>
  <c r="H19" i="3" l="1"/>
  <c r="I19" i="3"/>
  <c r="I11" i="3"/>
  <c r="N10" i="3"/>
  <c r="O10" i="3"/>
  <c r="G14" i="3"/>
  <c r="H14" i="3" s="1"/>
  <c r="I14" i="3" s="1"/>
  <c r="L19" i="3"/>
  <c r="P10" i="3" l="1"/>
  <c r="Q10" i="3" s="1"/>
  <c r="K19" i="3"/>
  <c r="N14" i="3"/>
  <c r="E11" i="1"/>
  <c r="F18" i="1"/>
  <c r="F11" i="1" l="1"/>
  <c r="G11" i="1"/>
  <c r="O14" i="3"/>
  <c r="T10" i="3"/>
  <c r="E9" i="1"/>
  <c r="S10" i="3"/>
  <c r="P14" i="3" l="1"/>
  <c r="Q14" i="3" s="1"/>
  <c r="G9" i="1"/>
  <c r="F9" i="1"/>
  <c r="T14" i="3" l="1"/>
  <c r="E20" i="1"/>
  <c r="S14" i="3"/>
  <c r="F20" i="1" l="1"/>
  <c r="G20" i="1"/>
</calcChain>
</file>

<file path=xl/sharedStrings.xml><?xml version="1.0" encoding="utf-8"?>
<sst xmlns="http://schemas.openxmlformats.org/spreadsheetml/2006/main" count="144" uniqueCount="104">
  <si>
    <t xml:space="preserve">«Утверждено»
решением Общего собрания собственников помещений 
в многоквартирном доме, расположенном по адресу
СПб, пр. Энергетиков, дом 9, корпус 6, строение 1
Протокол № _____ от «____» ____________ г.			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</si>
  <si>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</si>
  <si>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</si>
  <si>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</si>
  <si>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</si>
  <si>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руб./м2</t>
  </si>
  <si>
    <t>Отклонение, %</t>
  </si>
  <si>
    <t>I</t>
  </si>
  <si>
    <t>Содержание и ремонт жилого помещения</t>
  </si>
  <si>
    <t>Содержание общего имущества многоквартирного домa</t>
  </si>
  <si>
    <t>руб. /кв.м</t>
  </si>
  <si>
    <t>Текущий ремонт общего имущества многоквартирного домa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</si>
  <si>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</si>
  <si>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</si>
  <si>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 переговорно - замочного устройства</t>
  </si>
  <si>
    <t xml:space="preserve">Сервисное обслуживание систем автоматической противопожарной защиты </t>
  </si>
  <si>
    <t>Эксплуатация коллективных приборов учета электрической энергии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</si>
  <si>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</si>
  <si>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</si>
  <si>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</si>
  <si>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</si>
  <si>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Аварийно-диспетчерская служба</t>
  </si>
  <si>
    <t>Сервисное обслуживание системы очистки горячей воды</t>
  </si>
  <si>
    <t>II</t>
  </si>
  <si>
    <t>Прочие услуги</t>
  </si>
  <si>
    <t xml:space="preserve">Клининг фасадного  остекления  </t>
  </si>
  <si>
    <t>руб./кв.м остекления</t>
  </si>
  <si>
    <t>Обслуживание системы коллективного приёма телевидения</t>
  </si>
  <si>
    <t>руб. /квартира</t>
  </si>
  <si>
    <t>Дистанционный сбор, хранение, передача, обработка показаний индивидуальных приборов учета холодной и горячей воды, электроэнергии, тепловой энергии/распределителей</t>
  </si>
  <si>
    <t>Площадь Энергетиков 9/6:</t>
  </si>
  <si>
    <t>Площадь Энергетиков 11/5</t>
  </si>
  <si>
    <t>жилье</t>
  </si>
  <si>
    <t>нежилье</t>
  </si>
  <si>
    <t>паркинг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</si>
  <si>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</si>
  <si>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</si>
  <si>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</si>
  <si>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</si>
  <si>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</si>
  <si>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</si>
  <si>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</si>
  <si>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</si>
  <si>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</si>
  <si>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</si>
  <si>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</si>
  <si>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</si>
  <si>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</si>
  <si>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</si>
  <si>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</si>
  <si>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</si>
  <si>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</si>
  <si>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</si>
  <si>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</si>
  <si>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</si>
  <si>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</si>
  <si>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</si>
  <si>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</si>
  <si>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</si>
  <si>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 xml:space="preserve">Мат-лы для озеленения и весенней покраски, руб. </t>
  </si>
  <si>
    <t>Генеральная уборка</t>
  </si>
  <si>
    <t>Услуги мех.уборки и вывоза снега, руб.</t>
  </si>
  <si>
    <t>Расходы итого, руб.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</si>
  <si>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</si>
  <si>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</si>
  <si>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</si>
  <si>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</si>
  <si>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Высотные работы по удалению сосулек и наледи</t>
  </si>
  <si>
    <t>Обслуживание трактора, газонокосилки (запасные части,бензин, техническое обслуживание и т.п.)</t>
  </si>
  <si>
    <t>Услуги по обслуживанию насосных станций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</si>
  <si>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</si>
  <si>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</si>
  <si>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</si>
  <si>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</si>
  <si>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</si>
  <si>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</si>
  <si>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 объектов</t>
  </si>
  <si>
    <t>Услуги экстренного вызова охранных предприятий</t>
  </si>
  <si>
    <t>Услуги на аварийное обслуживание внутренних инженерных сетей</t>
  </si>
  <si>
    <t>Распоряжение Комитета по тарифам СПб № 145-р от 29.11.2021 (с 01.01.2022 по 30.06.2022)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</si>
  <si>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</si>
  <si>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</si>
  <si>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</si>
  <si>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</si>
  <si>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</si>
  <si>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</si>
  <si>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</si>
  <si>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</si>
  <si>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</si>
  <si>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21</t>
  </si>
  <si>
    <t>Базовая ставка, руб./лифт</t>
  </si>
  <si>
    <t>Коф-т</t>
  </si>
  <si>
    <t xml:space="preserve">Кол-во лифтов в доме </t>
  </si>
  <si>
    <t>Этажность</t>
  </si>
  <si>
    <t>Энергетиков 11, к.5</t>
  </si>
  <si>
    <t>Лифты пассажирские - грузоподъемность 630 кг, этажность 21</t>
  </si>
  <si>
    <t>Тех.обслуживание лифтов, включая ежегодное страхование, диагностику, руб.</t>
  </si>
  <si>
    <t>Лифты пассажирские - грузоподъемность 400 кг, этажность 21</t>
  </si>
  <si>
    <t>Платформы для инвалидов</t>
  </si>
  <si>
    <t>4 шт.</t>
  </si>
  <si>
    <t>Итого стоимость обслуживания лифтов, страхование, диагностика, руб.</t>
  </si>
  <si>
    <t>Тариф, руб./м2</t>
  </si>
  <si>
    <t xml:space="preserve">ТАРИФЫ НА УСЛУГИ с 01.06.2024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владельцев жилых помещений дома, расположенного по адресу:                                                                                                                                                                                                                                 г. Санкт-Петербург, муниципальный округ Большая Охта, проспект Энергетиков, дом 9, корпус 6, строение 1.   </t>
  </si>
  <si>
    <t xml:space="preserve">Приложение № 1 к материалам собрания                                                                                                                                                                                                                                                                   собственников помещений в многоквартирном доме по адресу:
г. Санкт-Петербург, пр. Энергетиков, д. 9, корпус  6, строение 1
Дата проведения собрания: 19.02.2024 - 19.05.2024 года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</si>
</sst>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_);_(* \(#,##0\);_(* &quot;-&quot;_);_(@_)"/>
  </numFmts>
  <fonts count="4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indexed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7" fillId="0" borderId="0"/>
    <xf numFmtId="0" fontId="26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26" fillId="0" borderId="0"/>
  </cellStyleXfs>
  <cellXfs count="204">
    <xf numFmtId="0" fontId="0" fillId="0" borderId="0" xfId="0"/>
    <xf numFmtId="0" fontId="4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Alignment="1">
      <alignment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2" fillId="0" borderId="0" xfId="5" applyFont="1"/>
    <xf numFmtId="0" fontId="16" fillId="0" borderId="0" xfId="5"/>
    <xf numFmtId="0" fontId="13" fillId="0" borderId="0" xfId="5" applyFont="1"/>
    <xf numFmtId="0" fontId="15" fillId="0" borderId="0" xfId="5" applyFont="1"/>
    <xf numFmtId="0" fontId="17" fillId="0" borderId="20" xfId="6" applyFont="1" applyBorder="1" applyAlignment="1">
      <alignment horizontal="center" vertical="center" wrapText="1"/>
    </xf>
    <xf numFmtId="0" fontId="17" fillId="0" borderId="21" xfId="6" applyFont="1" applyBorder="1" applyAlignment="1">
      <alignment horizontal="center" vertical="center"/>
    </xf>
    <xf numFmtId="3" fontId="17" fillId="0" borderId="21" xfId="6" applyNumberFormat="1" applyFont="1" applyBorder="1" applyAlignment="1">
      <alignment horizontal="center" vertical="center" wrapText="1"/>
    </xf>
    <xf numFmtId="3" fontId="17" fillId="4" borderId="21" xfId="6" applyNumberFormat="1" applyFont="1" applyFill="1" applyBorder="1" applyAlignment="1">
      <alignment horizontal="center" vertical="center" wrapText="1"/>
    </xf>
    <xf numFmtId="3" fontId="17" fillId="0" borderId="10" xfId="6" applyNumberFormat="1" applyFont="1" applyBorder="1" applyAlignment="1">
      <alignment horizontal="center" vertical="center" wrapText="1"/>
    </xf>
    <xf numFmtId="0" fontId="18" fillId="0" borderId="0" xfId="6" applyFont="1"/>
    <xf numFmtId="0" fontId="19" fillId="0" borderId="0" xfId="6" applyFont="1"/>
    <xf numFmtId="3" fontId="18" fillId="0" borderId="22" xfId="6" applyNumberFormat="1" applyFont="1" applyBorder="1" applyAlignment="1">
      <alignment horizontal="center"/>
    </xf>
    <xf numFmtId="3" fontId="18" fillId="0" borderId="23" xfId="6" applyNumberFormat="1" applyFont="1" applyBorder="1" applyAlignment="1">
      <alignment horizontal="center"/>
    </xf>
    <xf numFmtId="4" fontId="18" fillId="4" borderId="23" xfId="6" applyNumberFormat="1" applyFont="1" applyFill="1" applyBorder="1" applyAlignment="1">
      <alignment horizontal="center"/>
    </xf>
    <xf numFmtId="4" fontId="18" fillId="0" borderId="23" xfId="6" applyNumberFormat="1" applyFont="1" applyBorder="1" applyAlignment="1">
      <alignment horizontal="center"/>
    </xf>
    <xf numFmtId="4" fontId="18" fillId="0" borderId="16" xfId="6" applyNumberFormat="1" applyFont="1" applyBorder="1" applyAlignment="1">
      <alignment horizontal="center"/>
    </xf>
    <xf numFmtId="3" fontId="18" fillId="0" borderId="7" xfId="6" applyNumberFormat="1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0" fontId="19" fillId="0" borderId="0" xfId="6" applyFont="1" applyAlignment="1">
      <alignment vertical="center"/>
    </xf>
    <xf numFmtId="3" fontId="18" fillId="0" borderId="12" xfId="6" applyNumberFormat="1" applyFont="1" applyBorder="1" applyAlignment="1">
      <alignment horizontal="center" vertical="center"/>
    </xf>
    <xf numFmtId="3" fontId="18" fillId="0" borderId="18" xfId="6" applyNumberFormat="1" applyFont="1" applyBorder="1" applyAlignment="1">
      <alignment horizontal="center" vertical="center"/>
    </xf>
    <xf numFmtId="3" fontId="18" fillId="0" borderId="22" xfId="6" applyNumberFormat="1" applyFont="1" applyBorder="1" applyAlignment="1">
      <alignment horizontal="center" vertical="center" wrapText="1"/>
    </xf>
    <xf numFmtId="3" fontId="18" fillId="0" borderId="26" xfId="6" applyNumberFormat="1" applyFont="1" applyBorder="1" applyAlignment="1">
      <alignment horizontal="center" vertical="center" wrapText="1"/>
    </xf>
    <xf numFmtId="3" fontId="18" fillId="0" borderId="15" xfId="6" applyNumberFormat="1" applyFont="1" applyBorder="1" applyAlignment="1">
      <alignment horizontal="center" vertical="center"/>
    </xf>
    <xf numFmtId="4" fontId="18" fillId="4" borderId="15" xfId="6" applyNumberFormat="1" applyFont="1" applyFill="1" applyBorder="1" applyAlignment="1">
      <alignment horizontal="center" vertical="center"/>
    </xf>
    <xf numFmtId="4" fontId="18" fillId="0" borderId="15" xfId="6" applyNumberFormat="1" applyFont="1" applyBorder="1" applyAlignment="1">
      <alignment horizontal="center" vertical="center"/>
    </xf>
    <xf numFmtId="4" fontId="18" fillId="0" borderId="14" xfId="6" applyNumberFormat="1" applyFont="1" applyBorder="1" applyAlignment="1">
      <alignment horizontal="center" vertical="center"/>
    </xf>
    <xf numFmtId="3" fontId="17" fillId="0" borderId="17" xfId="6" applyNumberFormat="1" applyFont="1" applyBorder="1" applyAlignment="1">
      <alignment horizontal="center"/>
    </xf>
    <xf numFmtId="3" fontId="17" fillId="0" borderId="18" xfId="6" applyNumberFormat="1" applyFont="1" applyBorder="1" applyAlignment="1">
      <alignment horizontal="center"/>
    </xf>
    <xf numFmtId="4" fontId="17" fillId="4" borderId="18" xfId="6" applyNumberFormat="1" applyFont="1" applyFill="1" applyBorder="1" applyAlignment="1">
      <alignment horizontal="center"/>
    </xf>
    <xf numFmtId="4" fontId="17" fillId="0" borderId="18" xfId="6" applyNumberFormat="1" applyFont="1" applyBorder="1" applyAlignment="1">
      <alignment horizontal="center"/>
    </xf>
    <xf numFmtId="4" fontId="17" fillId="0" borderId="19" xfId="6" applyNumberFormat="1" applyFont="1" applyBorder="1" applyAlignment="1">
      <alignment horizontal="center"/>
    </xf>
    <xf numFmtId="0" fontId="17" fillId="0" borderId="0" xfId="6" applyFont="1"/>
    <xf numFmtId="0" fontId="20" fillId="0" borderId="0" xfId="6" applyFont="1"/>
    <xf numFmtId="0" fontId="10" fillId="0" borderId="0" xfId="5" applyFont="1"/>
    <xf numFmtId="0" fontId="21" fillId="0" borderId="0" xfId="5" applyFont="1"/>
    <xf numFmtId="0" fontId="17" fillId="0" borderId="21" xfId="6" applyFont="1" applyBorder="1" applyAlignment="1">
      <alignment horizontal="center" vertical="center" wrapText="1"/>
    </xf>
    <xf numFmtId="0" fontId="17" fillId="0" borderId="10" xfId="6" applyFont="1" applyBorder="1" applyAlignment="1">
      <alignment horizontal="center" vertical="center" wrapText="1"/>
    </xf>
    <xf numFmtId="3" fontId="18" fillId="0" borderId="6" xfId="6" applyNumberFormat="1" applyFont="1" applyBorder="1" applyAlignment="1">
      <alignment horizontal="center"/>
    </xf>
    <xf numFmtId="3" fontId="18" fillId="0" borderId="7" xfId="6" applyNumberFormat="1" applyFont="1" applyBorder="1" applyAlignment="1">
      <alignment horizontal="center"/>
    </xf>
    <xf numFmtId="3" fontId="18" fillId="0" borderId="8" xfId="6" applyNumberFormat="1" applyFont="1" applyBorder="1" applyAlignment="1">
      <alignment horizontal="center"/>
    </xf>
    <xf numFmtId="2" fontId="18" fillId="0" borderId="8" xfId="6" applyNumberFormat="1" applyFont="1" applyBorder="1"/>
    <xf numFmtId="3" fontId="18" fillId="0" borderId="13" xfId="6" applyNumberFormat="1" applyFont="1" applyBorder="1" applyAlignment="1">
      <alignment horizontal="center" vertical="center"/>
    </xf>
    <xf numFmtId="2" fontId="18" fillId="0" borderId="14" xfId="6" applyNumberFormat="1" applyFont="1" applyBorder="1" applyAlignment="1">
      <alignment horizontal="center" vertical="center"/>
    </xf>
    <xf numFmtId="3" fontId="18" fillId="0" borderId="26" xfId="6" applyNumberFormat="1" applyFont="1" applyBorder="1" applyAlignment="1">
      <alignment vertical="center" wrapText="1"/>
    </xf>
    <xf numFmtId="3" fontId="18" fillId="0" borderId="17" xfId="6" applyNumberFormat="1" applyFont="1" applyBorder="1" applyAlignment="1">
      <alignment vertical="center" wrapText="1"/>
    </xf>
    <xf numFmtId="3" fontId="18" fillId="0" borderId="18" xfId="6" applyNumberFormat="1" applyFont="1" applyBorder="1" applyAlignment="1">
      <alignment horizontal="center"/>
    </xf>
    <xf numFmtId="3" fontId="18" fillId="0" borderId="19" xfId="6" applyNumberFormat="1" applyFont="1" applyBorder="1" applyAlignment="1">
      <alignment horizontal="center" vertical="center"/>
    </xf>
    <xf numFmtId="0" fontId="18" fillId="0" borderId="19" xfId="6" applyFont="1" applyBorder="1"/>
    <xf numFmtId="0" fontId="17" fillId="0" borderId="2" xfId="5" applyFont="1" applyBorder="1" applyAlignment="1">
      <alignment horizontal="center" vertical="center" wrapText="1"/>
    </xf>
    <xf numFmtId="2" fontId="18" fillId="0" borderId="28" xfId="6" applyNumberFormat="1" applyFont="1" applyBorder="1" applyAlignment="1">
      <alignment horizontal="left" vertical="center" wrapText="1"/>
    </xf>
    <xf numFmtId="165" fontId="18" fillId="0" borderId="29" xfId="6" applyNumberFormat="1" applyFont="1" applyBorder="1" applyAlignment="1">
      <alignment horizontal="center" vertical="center" wrapText="1"/>
    </xf>
    <xf numFmtId="0" fontId="18" fillId="0" borderId="0" xfId="5" applyFont="1"/>
    <xf numFmtId="0" fontId="22" fillId="0" borderId="0" xfId="5" applyFont="1"/>
    <xf numFmtId="2" fontId="18" fillId="0" borderId="30" xfId="6" applyNumberFormat="1" applyFont="1" applyBorder="1" applyAlignment="1">
      <alignment horizontal="left" vertical="center" wrapText="1"/>
    </xf>
    <xf numFmtId="165" fontId="18" fillId="0" borderId="31" xfId="6" applyNumberFormat="1" applyFont="1" applyBorder="1" applyAlignment="1">
      <alignment horizontal="center" vertical="center" wrapText="1"/>
    </xf>
    <xf numFmtId="0" fontId="23" fillId="0" borderId="0" xfId="5" applyFont="1"/>
    <xf numFmtId="2" fontId="18" fillId="0" borderId="32" xfId="6" applyNumberFormat="1" applyFont="1" applyBorder="1" applyAlignment="1">
      <alignment horizontal="left" vertical="center" wrapText="1"/>
    </xf>
    <xf numFmtId="165" fontId="18" fillId="0" borderId="33" xfId="6" applyNumberFormat="1" applyFont="1" applyBorder="1" applyAlignment="1">
      <alignment horizontal="center" vertical="center" wrapText="1"/>
    </xf>
    <xf numFmtId="2" fontId="17" fillId="0" borderId="27" xfId="6" applyNumberFormat="1" applyFont="1" applyBorder="1" applyAlignment="1">
      <alignment horizontal="left" vertical="center" wrapText="1"/>
    </xf>
    <xf numFmtId="165" fontId="17" fillId="0" borderId="2" xfId="6" applyNumberFormat="1" applyFont="1" applyBorder="1" applyAlignment="1">
      <alignment horizontal="center" vertical="center" wrapText="1"/>
    </xf>
    <xf numFmtId="0" fontId="24" fillId="0" borderId="0" xfId="5" applyFont="1"/>
    <xf numFmtId="0" fontId="25" fillId="0" borderId="0" xfId="5" applyFont="1"/>
    <xf numFmtId="4" fontId="25" fillId="0" borderId="0" xfId="5" applyNumberFormat="1" applyFont="1"/>
    <xf numFmtId="0" fontId="25" fillId="0" borderId="0" xfId="5" applyFont="1" applyAlignment="1">
      <alignment horizontal="center"/>
    </xf>
    <xf numFmtId="0" fontId="25" fillId="0" borderId="20" xfId="5" applyFont="1" applyBorder="1"/>
    <xf numFmtId="0" fontId="9" fillId="0" borderId="21" xfId="5" applyFont="1" applyBorder="1" applyAlignment="1">
      <alignment horizontal="center" vertical="center"/>
    </xf>
    <xf numFmtId="0" fontId="25" fillId="0" borderId="21" xfId="5" applyFont="1" applyBorder="1" applyAlignment="1">
      <alignment horizontal="center" vertical="center"/>
    </xf>
    <xf numFmtId="0" fontId="25" fillId="0" borderId="21" xfId="5" applyFont="1" applyBorder="1" applyAlignment="1">
      <alignment horizontal="center" vertical="center" wrapText="1"/>
    </xf>
    <xf numFmtId="0" fontId="25" fillId="0" borderId="10" xfId="5" applyFont="1" applyBorder="1" applyAlignment="1">
      <alignment horizontal="center" vertical="center" wrapText="1"/>
    </xf>
    <xf numFmtId="0" fontId="25" fillId="0" borderId="35" xfId="5" applyFont="1" applyBorder="1"/>
    <xf numFmtId="0" fontId="9" fillId="0" borderId="36" xfId="5" applyFont="1" applyBorder="1"/>
    <xf numFmtId="0" fontId="25" fillId="0" borderId="36" xfId="5" applyFont="1" applyBorder="1"/>
    <xf numFmtId="0" fontId="25" fillId="0" borderId="37" xfId="5" applyFont="1" applyBorder="1"/>
    <xf numFmtId="0" fontId="25" fillId="0" borderId="11" xfId="5" applyFont="1" applyBorder="1"/>
    <xf numFmtId="0" fontId="9" fillId="0" borderId="12" xfId="5" applyFont="1" applyBorder="1"/>
    <xf numFmtId="0" fontId="25" fillId="0" borderId="12" xfId="5" applyFont="1" applyBorder="1"/>
    <xf numFmtId="0" fontId="25" fillId="0" borderId="13" xfId="5" applyFont="1" applyBorder="1"/>
    <xf numFmtId="4" fontId="24" fillId="0" borderId="0" xfId="5" applyNumberFormat="1" applyFont="1"/>
    <xf numFmtId="0" fontId="25" fillId="0" borderId="17" xfId="5" applyFont="1" applyBorder="1"/>
    <xf numFmtId="0" fontId="9" fillId="0" borderId="18" xfId="5" applyFont="1" applyBorder="1"/>
    <xf numFmtId="0" fontId="25" fillId="0" borderId="18" xfId="5" applyFont="1" applyBorder="1"/>
    <xf numFmtId="0" fontId="25" fillId="0" borderId="19" xfId="5" applyFont="1" applyBorder="1"/>
    <xf numFmtId="0" fontId="9" fillId="0" borderId="0" xfId="7" applyFont="1"/>
    <xf numFmtId="2" fontId="14" fillId="0" borderId="0" xfId="7" applyNumberFormat="1" applyFont="1"/>
    <xf numFmtId="2" fontId="9" fillId="0" borderId="0" xfId="7" applyNumberFormat="1" applyFont="1"/>
    <xf numFmtId="0" fontId="9" fillId="0" borderId="8" xfId="7" applyFont="1" applyBorder="1"/>
    <xf numFmtId="0" fontId="9" fillId="0" borderId="13" xfId="7" applyFont="1" applyBorder="1"/>
    <xf numFmtId="4" fontId="9" fillId="0" borderId="0" xfId="7" applyNumberFormat="1" applyFont="1"/>
    <xf numFmtId="0" fontId="9" fillId="0" borderId="0" xfId="7" applyFont="1" applyAlignment="1">
      <alignment horizontal="right"/>
    </xf>
    <xf numFmtId="0" fontId="9" fillId="0" borderId="19" xfId="7" applyFont="1" applyBorder="1"/>
    <xf numFmtId="0" fontId="5" fillId="5" borderId="20" xfId="7" applyFont="1" applyFill="1" applyBorder="1"/>
    <xf numFmtId="0" fontId="9" fillId="5" borderId="21" xfId="7" applyFont="1" applyFill="1" applyBorder="1"/>
    <xf numFmtId="4" fontId="9" fillId="5" borderId="10" xfId="7" applyNumberFormat="1" applyFont="1" applyFill="1" applyBorder="1"/>
    <xf numFmtId="9" fontId="14" fillId="0" borderId="0" xfId="7" applyNumberFormat="1" applyFont="1"/>
    <xf numFmtId="0" fontId="9" fillId="5" borderId="20" xfId="7" applyFont="1" applyFill="1" applyBorder="1"/>
    <xf numFmtId="0" fontId="9" fillId="0" borderId="0" xfId="8" applyFont="1"/>
    <xf numFmtId="4" fontId="14" fillId="0" borderId="0" xfId="7" applyNumberFormat="1" applyFont="1"/>
    <xf numFmtId="0" fontId="14" fillId="0" borderId="0" xfId="8" applyFont="1"/>
    <xf numFmtId="0" fontId="9" fillId="0" borderId="0" xfId="8" applyFont="1" applyAlignment="1">
      <alignment horizontal="center"/>
    </xf>
    <xf numFmtId="0" fontId="14" fillId="0" borderId="0" xfId="7" applyFont="1"/>
    <xf numFmtId="0" fontId="27" fillId="0" borderId="0" xfId="9" applyFont="1"/>
    <xf numFmtId="2" fontId="18" fillId="0" borderId="39" xfId="6" applyNumberFormat="1" applyFont="1" applyBorder="1" applyAlignment="1">
      <alignment horizontal="left" vertical="center" wrapText="1"/>
    </xf>
    <xf numFmtId="165" fontId="18" fillId="0" borderId="4" xfId="6" applyNumberFormat="1" applyFont="1" applyBorder="1" applyAlignment="1">
      <alignment horizontal="center" vertical="center" wrapText="1"/>
    </xf>
    <xf numFmtId="0" fontId="17" fillId="0" borderId="27" xfId="5" applyFont="1" applyBorder="1" applyAlignment="1">
      <alignment horizontal="center" vertical="center"/>
    </xf>
    <xf numFmtId="3" fontId="18" fillId="0" borderId="23" xfId="6" applyNumberFormat="1" applyFont="1" applyBorder="1" applyAlignment="1">
      <alignment horizontal="center" vertical="center"/>
    </xf>
    <xf numFmtId="4" fontId="18" fillId="0" borderId="16" xfId="6" applyNumberFormat="1" applyFont="1" applyBorder="1" applyAlignment="1">
      <alignment horizontal="center" vertical="center"/>
    </xf>
    <xf numFmtId="4" fontId="18" fillId="4" borderId="23" xfId="6" applyNumberFormat="1" applyFont="1" applyFill="1" applyBorder="1" applyAlignment="1">
      <alignment horizontal="center" vertical="center"/>
    </xf>
    <xf numFmtId="4" fontId="18" fillId="0" borderId="23" xfId="6" applyNumberFormat="1" applyFont="1" applyBorder="1" applyAlignment="1">
      <alignment horizontal="center" vertical="center"/>
    </xf>
    <xf numFmtId="0" fontId="28" fillId="0" borderId="0" xfId="5" applyFont="1"/>
    <xf numFmtId="0" fontId="29" fillId="0" borderId="0" xfId="5" applyFont="1" applyAlignment="1">
      <alignment horizontal="center" vertical="center" wrapText="1"/>
    </xf>
    <xf numFmtId="0" fontId="29" fillId="0" borderId="0" xfId="5" applyFont="1"/>
    <xf numFmtId="4" fontId="29" fillId="0" borderId="0" xfId="5" applyNumberFormat="1" applyFont="1"/>
    <xf numFmtId="0" fontId="30" fillId="0" borderId="0" xfId="5" applyFont="1"/>
    <xf numFmtId="0" fontId="29" fillId="0" borderId="0" xfId="6" applyFont="1"/>
    <xf numFmtId="0" fontId="29" fillId="0" borderId="0" xfId="6" applyFont="1" applyAlignment="1">
      <alignment vertical="center"/>
    </xf>
    <xf numFmtId="3" fontId="29" fillId="0" borderId="0" xfId="6" applyNumberFormat="1" applyFont="1" applyAlignment="1">
      <alignment vertical="center" wrapText="1"/>
    </xf>
    <xf numFmtId="3" fontId="29" fillId="0" borderId="0" xfId="6" applyNumberFormat="1" applyFont="1" applyAlignment="1">
      <alignment horizontal="center"/>
    </xf>
    <xf numFmtId="3" fontId="29" fillId="0" borderId="0" xfId="6" applyNumberFormat="1" applyFont="1" applyAlignment="1">
      <alignment horizontal="center" vertical="center"/>
    </xf>
    <xf numFmtId="0" fontId="31" fillId="0" borderId="0" xfId="6" applyFont="1"/>
    <xf numFmtId="0" fontId="17" fillId="0" borderId="0" xfId="5" applyFont="1"/>
    <xf numFmtId="0" fontId="18" fillId="0" borderId="0" xfId="5" applyFont="1" applyAlignment="1">
      <alignment horizontal="center" vertical="center" wrapText="1"/>
    </xf>
    <xf numFmtId="4" fontId="18" fillId="0" borderId="0" xfId="5" applyNumberFormat="1" applyFont="1" applyAlignment="1">
      <alignment horizontal="left"/>
    </xf>
    <xf numFmtId="4" fontId="17" fillId="0" borderId="0" xfId="5" applyNumberFormat="1" applyFont="1" applyAlignment="1">
      <alignment horizontal="left"/>
    </xf>
    <xf numFmtId="0" fontId="17" fillId="0" borderId="9" xfId="6" applyFont="1" applyBorder="1" applyAlignment="1">
      <alignment horizontal="center" vertical="center" wrapText="1"/>
    </xf>
    <xf numFmtId="2" fontId="18" fillId="0" borderId="42" xfId="6" applyNumberFormat="1" applyFont="1" applyBorder="1"/>
    <xf numFmtId="2" fontId="18" fillId="0" borderId="41" xfId="6" applyNumberFormat="1" applyFont="1" applyBorder="1" applyAlignment="1">
      <alignment horizontal="center" vertical="center"/>
    </xf>
    <xf numFmtId="0" fontId="18" fillId="0" borderId="38" xfId="6" applyFont="1" applyBorder="1"/>
    <xf numFmtId="0" fontId="17" fillId="4" borderId="20" xfId="6" applyFont="1" applyFill="1" applyBorder="1" applyAlignment="1">
      <alignment horizontal="center" vertical="center" wrapText="1"/>
    </xf>
    <xf numFmtId="0" fontId="17" fillId="4" borderId="10" xfId="6" applyFont="1" applyFill="1" applyBorder="1" applyAlignment="1">
      <alignment horizontal="center" vertical="center" wrapText="1"/>
    </xf>
    <xf numFmtId="2" fontId="18" fillId="4" borderId="6" xfId="6" applyNumberFormat="1" applyFont="1" applyFill="1" applyBorder="1"/>
    <xf numFmtId="0" fontId="18" fillId="4" borderId="8" xfId="6" applyFont="1" applyFill="1" applyBorder="1"/>
    <xf numFmtId="2" fontId="18" fillId="4" borderId="11" xfId="6" applyNumberFormat="1" applyFont="1" applyFill="1" applyBorder="1" applyAlignment="1">
      <alignment horizontal="center" vertical="center"/>
    </xf>
    <xf numFmtId="2" fontId="18" fillId="4" borderId="13" xfId="6" applyNumberFormat="1" applyFont="1" applyFill="1" applyBorder="1" applyAlignment="1">
      <alignment horizontal="center" vertical="center"/>
    </xf>
    <xf numFmtId="0" fontId="18" fillId="4" borderId="17" xfId="6" applyFont="1" applyFill="1" applyBorder="1"/>
    <xf numFmtId="0" fontId="18" fillId="4" borderId="19" xfId="6" applyFont="1" applyFill="1" applyBorder="1"/>
    <xf numFmtId="3" fontId="18" fillId="0" borderId="12" xfId="6" applyNumberFormat="1" applyFont="1" applyBorder="1" applyAlignment="1">
      <alignment horizontal="center" vertical="center" wrapText="1"/>
    </xf>
    <xf numFmtId="2" fontId="18" fillId="6" borderId="32" xfId="6" applyNumberFormat="1" applyFont="1" applyFill="1" applyBorder="1" applyAlignment="1">
      <alignment horizontal="left" vertical="center" wrapText="1"/>
    </xf>
    <xf numFmtId="165" fontId="18" fillId="6" borderId="33" xfId="6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right"/>
    </xf>
    <xf numFmtId="0" fontId="11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5" fillId="0" borderId="2" xfId="1" applyFont="1" applyBorder="1" applyAlignment="1">
      <alignment horizontal="center" wrapText="1"/>
    </xf>
    <xf numFmtId="0" fontId="34" fillId="0" borderId="2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left" vertical="center" wrapText="1"/>
    </xf>
    <xf numFmtId="0" fontId="37" fillId="2" borderId="2" xfId="1" applyFont="1" applyFill="1" applyBorder="1" applyAlignment="1">
      <alignment horizontal="center" vertical="center" wrapText="1"/>
    </xf>
    <xf numFmtId="4" fontId="37" fillId="2" borderId="2" xfId="1" applyNumberFormat="1" applyFont="1" applyFill="1" applyBorder="1" applyAlignment="1">
      <alignment horizontal="center" vertical="center" wrapText="1"/>
    </xf>
    <xf numFmtId="0" fontId="38" fillId="0" borderId="2" xfId="1" applyFont="1" applyBorder="1" applyAlignment="1">
      <alignment vertical="center" wrapText="1"/>
    </xf>
    <xf numFmtId="0" fontId="39" fillId="0" borderId="2" xfId="1" applyFont="1" applyBorder="1" applyAlignment="1">
      <alignment horizontal="center" vertical="center" wrapText="1"/>
    </xf>
    <xf numFmtId="2" fontId="40" fillId="3" borderId="2" xfId="1" applyNumberFormat="1" applyFont="1" applyFill="1" applyBorder="1" applyAlignment="1">
      <alignment horizontal="center" vertical="center" wrapText="1"/>
    </xf>
    <xf numFmtId="2" fontId="39" fillId="3" borderId="2" xfId="1" applyNumberFormat="1" applyFont="1" applyFill="1" applyBorder="1" applyAlignment="1">
      <alignment horizontal="center" vertical="center" wrapText="1"/>
    </xf>
    <xf numFmtId="0" fontId="38" fillId="0" borderId="2" xfId="1" applyFont="1" applyBorder="1" applyAlignment="1">
      <alignment horizontal="left" vertical="center" wrapText="1"/>
    </xf>
    <xf numFmtId="2" fontId="40" fillId="6" borderId="2" xfId="1" applyNumberFormat="1" applyFont="1" applyFill="1" applyBorder="1" applyAlignment="1">
      <alignment horizontal="center" vertical="center" wrapText="1"/>
    </xf>
    <xf numFmtId="2" fontId="39" fillId="6" borderId="2" xfId="1" applyNumberFormat="1" applyFont="1" applyFill="1" applyBorder="1" applyAlignment="1">
      <alignment horizontal="center" vertical="center" wrapText="1"/>
    </xf>
    <xf numFmtId="0" fontId="41" fillId="0" borderId="2" xfId="1" applyFont="1" applyBorder="1" applyAlignment="1">
      <alignment horizontal="left" vertical="center" wrapText="1"/>
    </xf>
    <xf numFmtId="2" fontId="39" fillId="0" borderId="2" xfId="1" applyNumberFormat="1" applyFont="1" applyBorder="1" applyAlignment="1">
      <alignment horizontal="center" vertical="center" wrapText="1"/>
    </xf>
    <xf numFmtId="0" fontId="38" fillId="0" borderId="0" xfId="1" applyFont="1"/>
    <xf numFmtId="0" fontId="42" fillId="0" borderId="0" xfId="1" applyFont="1"/>
    <xf numFmtId="0" fontId="43" fillId="6" borderId="0" xfId="1" applyFont="1" applyFill="1" applyAlignment="1">
      <alignment vertical="center"/>
    </xf>
    <xf numFmtId="0" fontId="41" fillId="0" borderId="0" xfId="1" applyFont="1"/>
    <xf numFmtId="0" fontId="44" fillId="0" borderId="0" xfId="1" applyFont="1"/>
    <xf numFmtId="0" fontId="35" fillId="2" borderId="1" xfId="1" applyFont="1" applyFill="1" applyBorder="1" applyAlignment="1">
      <alignment horizontal="center" vertical="center" wrapText="1"/>
    </xf>
    <xf numFmtId="2" fontId="37" fillId="2" borderId="2" xfId="1" applyNumberFormat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0" fontId="42" fillId="0" borderId="2" xfId="1" applyFont="1" applyBorder="1" applyAlignment="1">
      <alignment horizontal="center" vertical="center" wrapText="1"/>
    </xf>
    <xf numFmtId="2" fontId="41" fillId="0" borderId="2" xfId="1" applyNumberFormat="1" applyFont="1" applyBorder="1" applyAlignment="1">
      <alignment horizontal="center" vertical="center" wrapText="1"/>
    </xf>
    <xf numFmtId="2" fontId="42" fillId="0" borderId="2" xfId="1" applyNumberFormat="1" applyFont="1" applyBorder="1" applyAlignment="1">
      <alignment horizontal="center" vertical="center" wrapText="1"/>
    </xf>
    <xf numFmtId="0" fontId="33" fillId="0" borderId="0" xfId="1" applyFont="1" applyAlignment="1">
      <alignment horizontal="right" vertical="center" wrapText="1"/>
    </xf>
    <xf numFmtId="0" fontId="32" fillId="0" borderId="0" xfId="1" applyFont="1" applyAlignment="1">
      <alignment horizontal="right" vertical="center"/>
    </xf>
    <xf numFmtId="0" fontId="32" fillId="0" borderId="0" xfId="1" applyFont="1" applyAlignment="1">
      <alignment horizontal="right" vertical="center" wrapText="1"/>
    </xf>
    <xf numFmtId="0" fontId="34" fillId="0" borderId="0" xfId="1" applyFont="1" applyAlignment="1">
      <alignment horizontal="center" vertical="center" wrapText="1"/>
    </xf>
    <xf numFmtId="0" fontId="34" fillId="0" borderId="43" xfId="1" applyFont="1" applyBorder="1" applyAlignment="1">
      <alignment horizontal="center" vertical="center" wrapText="1"/>
    </xf>
    <xf numFmtId="4" fontId="18" fillId="4" borderId="24" xfId="6" applyNumberFormat="1" applyFont="1" applyFill="1" applyBorder="1" applyAlignment="1">
      <alignment horizontal="center" vertical="center"/>
    </xf>
    <xf numFmtId="4" fontId="18" fillId="4" borderId="23" xfId="6" applyNumberFormat="1" applyFont="1" applyFill="1" applyBorder="1" applyAlignment="1">
      <alignment horizontal="center" vertical="center"/>
    </xf>
    <xf numFmtId="4" fontId="18" fillId="0" borderId="24" xfId="6" applyNumberFormat="1" applyFont="1" applyBorder="1" applyAlignment="1">
      <alignment horizontal="center" vertical="center"/>
    </xf>
    <xf numFmtId="4" fontId="18" fillId="0" borderId="23" xfId="6" applyNumberFormat="1" applyFont="1" applyBorder="1" applyAlignment="1">
      <alignment horizontal="center" vertical="center"/>
    </xf>
    <xf numFmtId="4" fontId="18" fillId="0" borderId="25" xfId="6" applyNumberFormat="1" applyFont="1" applyBorder="1" applyAlignment="1">
      <alignment horizontal="center" vertical="center"/>
    </xf>
    <xf numFmtId="4" fontId="18" fillId="0" borderId="16" xfId="6" applyNumberFormat="1" applyFont="1" applyBorder="1" applyAlignment="1">
      <alignment horizontal="center" vertical="center"/>
    </xf>
    <xf numFmtId="0" fontId="17" fillId="0" borderId="3" xfId="5" applyFont="1" applyBorder="1" applyAlignment="1">
      <alignment horizontal="center" vertical="center" wrapText="1"/>
    </xf>
    <xf numFmtId="0" fontId="17" fillId="0" borderId="4" xfId="5" applyFont="1" applyBorder="1" applyAlignment="1">
      <alignment horizontal="center" vertical="center" wrapText="1"/>
    </xf>
    <xf numFmtId="0" fontId="17" fillId="0" borderId="34" xfId="5" applyFont="1" applyBorder="1" applyAlignment="1">
      <alignment horizontal="center" vertical="center" wrapText="1"/>
    </xf>
    <xf numFmtId="0" fontId="17" fillId="0" borderId="27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3" fontId="18" fillId="0" borderId="24" xfId="6" applyNumberFormat="1" applyFont="1" applyBorder="1" applyAlignment="1">
      <alignment horizontal="center" vertical="center"/>
    </xf>
    <xf numFmtId="3" fontId="18" fillId="0" borderId="23" xfId="6" applyNumberFormat="1" applyFont="1" applyBorder="1" applyAlignment="1">
      <alignment horizontal="center" vertical="center"/>
    </xf>
    <xf numFmtId="3" fontId="18" fillId="0" borderId="40" xfId="6" applyNumberFormat="1" applyFont="1" applyBorder="1" applyAlignment="1">
      <alignment horizontal="center" vertical="center" wrapText="1"/>
    </xf>
    <xf numFmtId="3" fontId="18" fillId="0" borderId="22" xfId="6" applyNumberFormat="1" applyFont="1" applyBorder="1" applyAlignment="1">
      <alignment horizontal="center" vertical="center" wrapText="1"/>
    </xf>
    <xf numFmtId="0" fontId="9" fillId="0" borderId="17" xfId="7" applyFont="1" applyBorder="1" applyAlignment="1">
      <alignment horizontal="left" wrapText="1"/>
    </xf>
    <xf numFmtId="0" fontId="9" fillId="0" borderId="18" xfId="7" applyFont="1" applyBorder="1" applyAlignment="1">
      <alignment horizontal="left" wrapText="1"/>
    </xf>
    <xf numFmtId="0" fontId="9" fillId="0" borderId="6" xfId="7" applyFont="1" applyBorder="1" applyAlignment="1">
      <alignment horizontal="left" wrapText="1"/>
    </xf>
    <xf numFmtId="0" fontId="9" fillId="0" borderId="7" xfId="7" applyFont="1" applyBorder="1" applyAlignment="1">
      <alignment horizontal="left" wrapText="1"/>
    </xf>
    <xf numFmtId="0" fontId="9" fillId="0" borderId="11" xfId="7" applyFont="1" applyBorder="1" applyAlignment="1">
      <alignment horizontal="left" wrapText="1"/>
    </xf>
    <xf numFmtId="0" fontId="9" fillId="0" borderId="12" xfId="7" applyFont="1" applyBorder="1" applyAlignment="1">
      <alignment horizontal="left" wrapText="1"/>
    </xf>
  </cellXfs>
  <cellStyles count="17">
    <cellStyle name="Обычный" xfId="0" builtinId="0"/>
    <cellStyle name="Обычный 11 2" xfId="5"/>
    <cellStyle name="Обычный 11 2 2" xfId="14"/>
    <cellStyle name="Обычный 11 4" xfId="15"/>
    <cellStyle name="Обычный 2" xfId="3"/>
    <cellStyle name="Обычный 2 2" xfId="4"/>
    <cellStyle name="Обычный 2 2 3 2" xfId="9"/>
    <cellStyle name="Обычный 2 2 3 2 2" xfId="16"/>
    <cellStyle name="Обычный 3" xfId="13"/>
    <cellStyle name="Обычный 3 3" xfId="8"/>
    <cellStyle name="Обычный 4" xfId="12"/>
    <cellStyle name="Обычный 83" xfId="11"/>
    <cellStyle name="Обычный 90 2" xfId="10"/>
    <cellStyle name="Обычный_5_А_2007_ЮЖНОЕ_N_ДР_АКТЫ" xfId="7"/>
    <cellStyle name="Обычный_бюджет 2008 (11.02.08) на утверждение 2" xfId="6"/>
    <cellStyle name="Обычный_тарифы город=факт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60" zoomScaleNormal="60" zoomScaleSheetLayoutView="75" workbookViewId="0">
      <selection sqref="A1:G26"/>
    </sheetView>
  </sheetViews>
  <sheetFormatPr defaultColWidth="4.7109375" defaultRowHeight="15" x14ac:dyDescent="0.25"/>
  <cols>
    <col min="1" max="1" width="6.5703125" style="1" customWidth="1"/>
    <col min="2" max="2" width="86.7109375" style="1" customWidth="1"/>
    <col min="3" max="3" width="17.7109375" style="6" customWidth="1"/>
    <col min="4" max="4" width="23.28515625" style="7" customWidth="1"/>
    <col min="5" max="5" width="23.28515625" style="2" customWidth="1"/>
    <col min="6" max="7" width="23.28515625" style="3" customWidth="1"/>
    <col min="8" max="8" width="10.42578125" style="3" customWidth="1"/>
    <col min="9" max="248" width="10.28515625" style="1" customWidth="1"/>
    <col min="249" max="16384" width="4.7109375" style="1"/>
  </cols>
  <sheetData>
    <row r="1" spans="1:11" ht="73.5" customHeight="1" x14ac:dyDescent="0.25">
      <c r="D1" s="178" t="s">
        <v>103</v>
      </c>
      <c r="E1" s="179"/>
      <c r="F1" s="179"/>
      <c r="G1" s="179"/>
    </row>
    <row r="2" spans="1:11" s="147" customFormat="1" ht="87.75" customHeight="1" x14ac:dyDescent="0.25">
      <c r="C2" s="148"/>
      <c r="D2" s="180" t="s">
        <v>0</v>
      </c>
      <c r="E2" s="179"/>
      <c r="F2" s="179"/>
      <c r="G2" s="179"/>
      <c r="H2" s="149"/>
    </row>
    <row r="3" spans="1:11" s="3" customFormat="1" ht="18.75" customHeight="1" x14ac:dyDescent="0.25">
      <c r="A3" s="181" t="s">
        <v>102</v>
      </c>
      <c r="B3" s="181"/>
      <c r="C3" s="181"/>
      <c r="D3" s="181"/>
      <c r="E3" s="181"/>
      <c r="F3" s="181"/>
      <c r="G3" s="181"/>
    </row>
    <row r="4" spans="1:11" s="3" customFormat="1" ht="21" customHeight="1" x14ac:dyDescent="0.25">
      <c r="A4" s="181"/>
      <c r="B4" s="181"/>
      <c r="C4" s="181"/>
      <c r="D4" s="181"/>
      <c r="E4" s="181"/>
      <c r="F4" s="181"/>
      <c r="G4" s="181"/>
    </row>
    <row r="5" spans="1:11" s="3" customFormat="1" ht="20.25" customHeight="1" x14ac:dyDescent="0.25">
      <c r="A5" s="181"/>
      <c r="B5" s="181"/>
      <c r="C5" s="181"/>
      <c r="D5" s="181"/>
      <c r="E5" s="181"/>
      <c r="F5" s="181"/>
      <c r="G5" s="181"/>
    </row>
    <row r="6" spans="1:11" s="3" customFormat="1" ht="20.25" customHeight="1" x14ac:dyDescent="0.25">
      <c r="A6" s="182"/>
      <c r="B6" s="182"/>
      <c r="C6" s="182"/>
      <c r="D6" s="182"/>
      <c r="E6" s="182"/>
      <c r="F6" s="182"/>
      <c r="G6" s="182"/>
    </row>
    <row r="7" spans="1:11" s="3" customFormat="1" ht="63" customHeight="1" x14ac:dyDescent="0.3">
      <c r="A7" s="150"/>
      <c r="B7" s="151" t="s">
        <v>1</v>
      </c>
      <c r="C7" s="152" t="s">
        <v>2</v>
      </c>
      <c r="D7" s="152" t="s">
        <v>3</v>
      </c>
      <c r="E7" s="151" t="s">
        <v>4</v>
      </c>
      <c r="F7" s="152" t="s">
        <v>5</v>
      </c>
      <c r="G7" s="152" t="s">
        <v>6</v>
      </c>
    </row>
    <row r="8" spans="1:11" s="3" customFormat="1" ht="35.65" customHeight="1" x14ac:dyDescent="0.25">
      <c r="A8" s="153" t="s">
        <v>7</v>
      </c>
      <c r="B8" s="154" t="s">
        <v>8</v>
      </c>
      <c r="C8" s="155"/>
      <c r="D8" s="156">
        <f>SUM(D9:D21)</f>
        <v>26.2</v>
      </c>
      <c r="E8" s="156">
        <f>SUM(E9:E21)+0.01</f>
        <v>30.883338903700999</v>
      </c>
      <c r="F8" s="156">
        <v>4.66</v>
      </c>
      <c r="G8" s="156">
        <v>17.78</v>
      </c>
    </row>
    <row r="9" spans="1:11" s="3" customFormat="1" ht="36" customHeight="1" x14ac:dyDescent="0.3">
      <c r="A9" s="150"/>
      <c r="B9" s="157" t="s">
        <v>9</v>
      </c>
      <c r="C9" s="158" t="s">
        <v>10</v>
      </c>
      <c r="D9" s="159">
        <v>5.72</v>
      </c>
      <c r="E9" s="160">
        <f>Разъяснения!Q10</f>
        <v>6.627924382848831</v>
      </c>
      <c r="F9" s="160">
        <f t="shared" ref="F9:F21" si="0">E9-D9</f>
        <v>0.90792438284883126</v>
      </c>
      <c r="G9" s="160">
        <f t="shared" ref="G9:G21" si="1">E9/D9*100-100</f>
        <v>15.872803895958597</v>
      </c>
      <c r="I9" s="6"/>
      <c r="J9" s="2"/>
    </row>
    <row r="10" spans="1:11" ht="36" customHeight="1" x14ac:dyDescent="0.3">
      <c r="A10" s="150"/>
      <c r="B10" s="157" t="s">
        <v>11</v>
      </c>
      <c r="C10" s="158" t="s">
        <v>10</v>
      </c>
      <c r="D10" s="159">
        <v>5</v>
      </c>
      <c r="E10" s="160">
        <v>5.5</v>
      </c>
      <c r="F10" s="160">
        <f t="shared" si="0"/>
        <v>0.5</v>
      </c>
      <c r="G10" s="160">
        <f t="shared" si="1"/>
        <v>10.000000000000014</v>
      </c>
      <c r="I10" s="6"/>
    </row>
    <row r="11" spans="1:11" ht="36" customHeight="1" x14ac:dyDescent="0.3">
      <c r="A11" s="150"/>
      <c r="B11" s="157" t="s">
        <v>12</v>
      </c>
      <c r="C11" s="158" t="s">
        <v>10</v>
      </c>
      <c r="D11" s="159">
        <v>2.02</v>
      </c>
      <c r="E11" s="160">
        <f>Разъяснения!I19</f>
        <v>2.0281470794455529</v>
      </c>
      <c r="F11" s="160">
        <f t="shared" si="0"/>
        <v>8.1470794455529294E-3</v>
      </c>
      <c r="G11" s="160">
        <f t="shared" si="1"/>
        <v>0.4033207646313457</v>
      </c>
      <c r="I11" s="6"/>
    </row>
    <row r="12" spans="1:11" ht="36" customHeight="1" x14ac:dyDescent="0.3">
      <c r="A12" s="150"/>
      <c r="B12" s="161" t="s">
        <v>13</v>
      </c>
      <c r="C12" s="158" t="s">
        <v>10</v>
      </c>
      <c r="D12" s="162">
        <v>0.33</v>
      </c>
      <c r="E12" s="163">
        <v>0.33</v>
      </c>
      <c r="F12" s="163">
        <f t="shared" si="0"/>
        <v>0</v>
      </c>
      <c r="G12" s="163">
        <f t="shared" si="1"/>
        <v>0</v>
      </c>
      <c r="I12" s="6"/>
    </row>
    <row r="13" spans="1:11" ht="36" customHeight="1" x14ac:dyDescent="0.3">
      <c r="A13" s="150"/>
      <c r="B13" s="161" t="s">
        <v>14</v>
      </c>
      <c r="C13" s="158" t="s">
        <v>10</v>
      </c>
      <c r="D13" s="159">
        <v>0.34</v>
      </c>
      <c r="E13" s="160">
        <v>0.35</v>
      </c>
      <c r="F13" s="160">
        <f t="shared" si="0"/>
        <v>9.9999999999999534E-3</v>
      </c>
      <c r="G13" s="160">
        <f t="shared" si="1"/>
        <v>2.941176470588232</v>
      </c>
      <c r="I13" s="6"/>
    </row>
    <row r="14" spans="1:11" s="3" customFormat="1" ht="36" customHeight="1" x14ac:dyDescent="0.3">
      <c r="A14" s="150"/>
      <c r="B14" s="157" t="s">
        <v>15</v>
      </c>
      <c r="C14" s="158" t="s">
        <v>10</v>
      </c>
      <c r="D14" s="162">
        <v>0.44</v>
      </c>
      <c r="E14" s="163">
        <v>0.44</v>
      </c>
      <c r="F14" s="163">
        <f t="shared" si="0"/>
        <v>0</v>
      </c>
      <c r="G14" s="163">
        <f t="shared" si="1"/>
        <v>0</v>
      </c>
      <c r="I14" s="6"/>
      <c r="J14" s="2"/>
      <c r="K14" s="1"/>
    </row>
    <row r="15" spans="1:11" ht="36" customHeight="1" x14ac:dyDescent="0.3">
      <c r="A15" s="150"/>
      <c r="B15" s="157" t="s">
        <v>16</v>
      </c>
      <c r="C15" s="158" t="s">
        <v>10</v>
      </c>
      <c r="D15" s="162">
        <v>7.0000000000000007E-2</v>
      </c>
      <c r="E15" s="163">
        <v>7.0000000000000007E-2</v>
      </c>
      <c r="F15" s="163">
        <f t="shared" si="0"/>
        <v>0</v>
      </c>
      <c r="G15" s="163">
        <f t="shared" si="1"/>
        <v>0</v>
      </c>
      <c r="I15" s="6"/>
    </row>
    <row r="16" spans="1:11" ht="36" customHeight="1" x14ac:dyDescent="0.3">
      <c r="A16" s="150"/>
      <c r="B16" s="157" t="s">
        <v>17</v>
      </c>
      <c r="C16" s="158" t="s">
        <v>10</v>
      </c>
      <c r="D16" s="162">
        <v>0.54</v>
      </c>
      <c r="E16" s="163">
        <v>0.54</v>
      </c>
      <c r="F16" s="163">
        <f t="shared" si="0"/>
        <v>0</v>
      </c>
      <c r="G16" s="163">
        <f t="shared" si="1"/>
        <v>0</v>
      </c>
      <c r="I16" s="6"/>
    </row>
    <row r="17" spans="1:9" ht="36" customHeight="1" x14ac:dyDescent="0.3">
      <c r="A17" s="150"/>
      <c r="B17" s="157" t="s">
        <v>18</v>
      </c>
      <c r="C17" s="158" t="s">
        <v>10</v>
      </c>
      <c r="D17" s="162">
        <v>0.06</v>
      </c>
      <c r="E17" s="163">
        <v>0.06</v>
      </c>
      <c r="F17" s="163">
        <f t="shared" si="0"/>
        <v>0</v>
      </c>
      <c r="G17" s="163">
        <f t="shared" si="1"/>
        <v>0</v>
      </c>
      <c r="I17" s="6"/>
    </row>
    <row r="18" spans="1:9" ht="36" customHeight="1" x14ac:dyDescent="0.3">
      <c r="A18" s="150"/>
      <c r="B18" s="161" t="s">
        <v>19</v>
      </c>
      <c r="C18" s="158" t="s">
        <v>10</v>
      </c>
      <c r="D18" s="159">
        <v>1.67</v>
      </c>
      <c r="E18" s="159">
        <v>2.93</v>
      </c>
      <c r="F18" s="159">
        <f t="shared" si="0"/>
        <v>1.2600000000000002</v>
      </c>
      <c r="G18" s="159">
        <v>75.180000000000007</v>
      </c>
      <c r="I18" s="6"/>
    </row>
    <row r="19" spans="1:9" ht="36" customHeight="1" x14ac:dyDescent="0.3">
      <c r="A19" s="150"/>
      <c r="B19" s="164" t="s">
        <v>20</v>
      </c>
      <c r="C19" s="158" t="s">
        <v>10</v>
      </c>
      <c r="D19" s="159">
        <v>5</v>
      </c>
      <c r="E19" s="160">
        <v>6</v>
      </c>
      <c r="F19" s="160">
        <f t="shared" si="0"/>
        <v>1</v>
      </c>
      <c r="G19" s="160">
        <f t="shared" si="1"/>
        <v>20</v>
      </c>
      <c r="I19" s="6"/>
    </row>
    <row r="20" spans="1:9" ht="36" customHeight="1" x14ac:dyDescent="0.3">
      <c r="A20" s="150"/>
      <c r="B20" s="157" t="s">
        <v>21</v>
      </c>
      <c r="C20" s="158" t="s">
        <v>10</v>
      </c>
      <c r="D20" s="159">
        <v>3.92</v>
      </c>
      <c r="E20" s="160">
        <f>Разъяснения!Q14</f>
        <v>4.90726744140661</v>
      </c>
      <c r="F20" s="160">
        <f t="shared" si="0"/>
        <v>0.98726744140661005</v>
      </c>
      <c r="G20" s="160">
        <f t="shared" si="1"/>
        <v>25.185393913433927</v>
      </c>
      <c r="I20" s="6"/>
    </row>
    <row r="21" spans="1:9" ht="36" customHeight="1" x14ac:dyDescent="0.3">
      <c r="A21" s="150"/>
      <c r="B21" s="164" t="s">
        <v>22</v>
      </c>
      <c r="C21" s="158" t="s">
        <v>10</v>
      </c>
      <c r="D21" s="162">
        <v>1.0900000000000001</v>
      </c>
      <c r="E21" s="165">
        <v>1.0900000000000001</v>
      </c>
      <c r="F21" s="165">
        <f t="shared" si="0"/>
        <v>0</v>
      </c>
      <c r="G21" s="165">
        <f t="shared" si="1"/>
        <v>0</v>
      </c>
      <c r="I21" s="6"/>
    </row>
    <row r="22" spans="1:9" ht="20.25" x14ac:dyDescent="0.3">
      <c r="A22" s="166"/>
      <c r="B22" s="166"/>
      <c r="C22" s="167"/>
      <c r="D22" s="168"/>
      <c r="E22" s="169"/>
      <c r="F22" s="170"/>
      <c r="G22" s="170"/>
    </row>
    <row r="23" spans="1:9" ht="29.45" customHeight="1" x14ac:dyDescent="0.25">
      <c r="A23" s="171" t="s">
        <v>23</v>
      </c>
      <c r="B23" s="154" t="s">
        <v>24</v>
      </c>
      <c r="C23" s="172"/>
      <c r="D23" s="173"/>
      <c r="E23" s="173"/>
      <c r="F23" s="172"/>
      <c r="G23" s="173"/>
    </row>
    <row r="24" spans="1:9" ht="36" customHeight="1" x14ac:dyDescent="0.3">
      <c r="A24" s="150"/>
      <c r="B24" s="157" t="s">
        <v>25</v>
      </c>
      <c r="C24" s="158" t="s">
        <v>26</v>
      </c>
      <c r="D24" s="162">
        <v>5.04</v>
      </c>
      <c r="E24" s="163">
        <v>5.04</v>
      </c>
      <c r="F24" s="163">
        <f>E24-D24</f>
        <v>0</v>
      </c>
      <c r="G24" s="163">
        <f>E24/D24*100-100</f>
        <v>0</v>
      </c>
      <c r="I24" s="6"/>
    </row>
    <row r="25" spans="1:9" ht="36" customHeight="1" x14ac:dyDescent="0.3">
      <c r="A25" s="150"/>
      <c r="B25" s="157" t="s">
        <v>27</v>
      </c>
      <c r="C25" s="158" t="s">
        <v>28</v>
      </c>
      <c r="D25" s="159">
        <v>140</v>
      </c>
      <c r="E25" s="160">
        <v>220</v>
      </c>
      <c r="F25" s="160">
        <f>E25-D25</f>
        <v>80</v>
      </c>
      <c r="G25" s="160">
        <f>E25/D25*100-100</f>
        <v>57.142857142857139</v>
      </c>
      <c r="I25" s="6"/>
    </row>
    <row r="26" spans="1:9" s="5" customFormat="1" ht="75" customHeight="1" x14ac:dyDescent="0.2">
      <c r="A26" s="174"/>
      <c r="B26" s="161" t="s">
        <v>29</v>
      </c>
      <c r="C26" s="175" t="s">
        <v>28</v>
      </c>
      <c r="D26" s="176">
        <v>189</v>
      </c>
      <c r="E26" s="177">
        <v>189</v>
      </c>
      <c r="F26" s="177">
        <f>E26-D26</f>
        <v>0</v>
      </c>
      <c r="G26" s="177">
        <f>E26/D26*100-100</f>
        <v>0</v>
      </c>
      <c r="H26" s="4"/>
    </row>
  </sheetData>
  <mergeCells count="3">
    <mergeCell ref="D1:G1"/>
    <mergeCell ref="D2:G2"/>
    <mergeCell ref="A3:G6"/>
  </mergeCells>
  <printOptions horizontalCentered="1"/>
  <pageMargins left="0.59055118110236227" right="0" top="0" bottom="0" header="0" footer="0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workbookViewId="0">
      <selection activeCell="T3" sqref="A3:T40"/>
    </sheetView>
  </sheetViews>
  <sheetFormatPr defaultColWidth="8.85546875" defaultRowHeight="15" x14ac:dyDescent="0.25"/>
  <cols>
    <col min="1" max="1" width="25.7109375" style="8" customWidth="1"/>
    <col min="2" max="2" width="26.28515625" style="8" customWidth="1"/>
    <col min="3" max="3" width="12.7109375" style="8" customWidth="1"/>
    <col min="4" max="7" width="13.28515625" style="8" customWidth="1"/>
    <col min="8" max="8" width="13.5703125" style="8" customWidth="1"/>
    <col min="9" max="11" width="13.28515625" style="8" customWidth="1"/>
    <col min="12" max="14" width="12" style="8" customWidth="1"/>
    <col min="15" max="15" width="12.7109375" style="8" customWidth="1"/>
    <col min="16" max="16" width="12.85546875" style="8" customWidth="1"/>
    <col min="17" max="18" width="12" style="8" customWidth="1"/>
    <col min="19" max="19" width="11.7109375" style="8" customWidth="1"/>
    <col min="20" max="27" width="8.85546875" style="8"/>
    <col min="28" max="16384" width="8.85546875" style="9"/>
  </cols>
  <sheetData>
    <row r="1" spans="1:27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7" x14ac:dyDescent="0.25">
      <c r="A2" s="128" t="s">
        <v>30</v>
      </c>
      <c r="B2" s="129"/>
      <c r="C2" s="60" t="s">
        <v>31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27" s="10" customFormat="1" ht="12" x14ac:dyDescent="0.2">
      <c r="A3" s="60" t="s">
        <v>32</v>
      </c>
      <c r="B3" s="130">
        <v>40790.199999999997</v>
      </c>
      <c r="C3" s="130">
        <v>27469.8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7" s="10" customFormat="1" ht="12" x14ac:dyDescent="0.2">
      <c r="A4" s="60" t="s">
        <v>33</v>
      </c>
      <c r="B4" s="130">
        <v>0</v>
      </c>
      <c r="C4" s="119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7" s="10" customFormat="1" ht="12" x14ac:dyDescent="0.2">
      <c r="A5" s="60" t="s">
        <v>34</v>
      </c>
      <c r="B5" s="130">
        <v>0</v>
      </c>
      <c r="C5" s="119"/>
      <c r="D5" s="120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27" s="10" customFormat="1" ht="12" x14ac:dyDescent="0.2">
      <c r="A6" s="60"/>
      <c r="B6" s="131">
        <f>SUM(B3:B5)</f>
        <v>40790.199999999997</v>
      </c>
      <c r="C6" s="119"/>
      <c r="D6" s="120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27" x14ac:dyDescent="0.25">
      <c r="A7" s="121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27" s="18" customFormat="1" ht="39" customHeight="1" x14ac:dyDescent="0.2">
      <c r="A8" s="12" t="s">
        <v>35</v>
      </c>
      <c r="B8" s="13" t="s">
        <v>36</v>
      </c>
      <c r="C8" s="13" t="s">
        <v>37</v>
      </c>
      <c r="D8" s="14" t="s">
        <v>38</v>
      </c>
      <c r="E8" s="14" t="s">
        <v>39</v>
      </c>
      <c r="F8" s="14" t="s">
        <v>40</v>
      </c>
      <c r="G8" s="14" t="s">
        <v>41</v>
      </c>
      <c r="H8" s="14" t="s">
        <v>42</v>
      </c>
      <c r="I8" s="14" t="s">
        <v>43</v>
      </c>
      <c r="J8" s="14" t="s">
        <v>44</v>
      </c>
      <c r="K8" s="14" t="s">
        <v>45</v>
      </c>
      <c r="L8" s="14" t="s">
        <v>46</v>
      </c>
      <c r="M8" s="14" t="s">
        <v>47</v>
      </c>
      <c r="N8" s="14" t="s">
        <v>48</v>
      </c>
      <c r="O8" s="14" t="s">
        <v>49</v>
      </c>
      <c r="P8" s="14" t="s">
        <v>50</v>
      </c>
      <c r="Q8" s="15" t="s">
        <v>51</v>
      </c>
      <c r="R8" s="15" t="s">
        <v>52</v>
      </c>
      <c r="S8" s="14" t="s">
        <v>5</v>
      </c>
      <c r="T8" s="16" t="s">
        <v>6</v>
      </c>
      <c r="U8" s="17"/>
      <c r="V8" s="17"/>
      <c r="W8" s="17"/>
      <c r="X8" s="17"/>
      <c r="Y8" s="17"/>
      <c r="Z8" s="17"/>
      <c r="AA8" s="17"/>
    </row>
    <row r="9" spans="1:27" s="18" customFormat="1" ht="12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22"/>
      <c r="T9" s="23"/>
      <c r="U9" s="17"/>
      <c r="V9" s="17"/>
      <c r="W9" s="17"/>
      <c r="X9" s="17"/>
      <c r="Y9" s="17"/>
      <c r="Z9" s="17"/>
      <c r="AA9" s="17"/>
    </row>
    <row r="10" spans="1:27" s="26" customFormat="1" ht="13.15" customHeight="1" x14ac:dyDescent="0.2">
      <c r="A10" s="196" t="s">
        <v>53</v>
      </c>
      <c r="B10" s="24" t="s">
        <v>54</v>
      </c>
      <c r="C10" s="24">
        <v>1</v>
      </c>
      <c r="D10" s="24">
        <v>50858.44</v>
      </c>
      <c r="E10" s="24">
        <f>C10*D10</f>
        <v>50858.44</v>
      </c>
      <c r="F10" s="24"/>
      <c r="G10" s="24"/>
      <c r="H10" s="24">
        <f>E10+F10+G10</f>
        <v>50858.44</v>
      </c>
      <c r="I10" s="24">
        <f>19242*30.2%+(H10-19242)*15%</f>
        <v>10553.55</v>
      </c>
      <c r="J10" s="194">
        <f>164649*1.1/12</f>
        <v>15092.825000000003</v>
      </c>
      <c r="K10" s="24">
        <f>(3000/12)+(4500/24)</f>
        <v>437.5</v>
      </c>
      <c r="L10" s="24">
        <f>(3300+5500+1540)/12</f>
        <v>861.66666666666663</v>
      </c>
      <c r="M10" s="194">
        <f>C35</f>
        <v>50501.111111111109</v>
      </c>
      <c r="N10" s="194">
        <f>H10+H11+H12+I10+I11+I12+J10+K10+K11+K12+L10+L11+L12+M10</f>
        <v>243463.78599782102</v>
      </c>
      <c r="O10" s="194">
        <f>N10*95%*1%</f>
        <v>2312.9059669792996</v>
      </c>
      <c r="P10" s="194">
        <f>(N10+O10)*10%</f>
        <v>24577.669196480034</v>
      </c>
      <c r="Q10" s="183">
        <f>(N10+O10+P10)/B6</f>
        <v>6.627924382848831</v>
      </c>
      <c r="R10" s="183">
        <v>5.72</v>
      </c>
      <c r="S10" s="185">
        <f>Q10-R10</f>
        <v>0.90792438284883126</v>
      </c>
      <c r="T10" s="187">
        <f>Q10/R10*100-100</f>
        <v>15.872803895958597</v>
      </c>
      <c r="U10" s="25"/>
      <c r="V10" s="25"/>
      <c r="W10" s="25"/>
      <c r="X10" s="25"/>
      <c r="Y10" s="25"/>
      <c r="Z10" s="25"/>
      <c r="AA10" s="25"/>
    </row>
    <row r="11" spans="1:27" s="26" customFormat="1" ht="13.15" customHeight="1" x14ac:dyDescent="0.2">
      <c r="A11" s="197"/>
      <c r="B11" s="27" t="s">
        <v>55</v>
      </c>
      <c r="C11" s="27">
        <v>1</v>
      </c>
      <c r="D11" s="27">
        <v>21350.77</v>
      </c>
      <c r="E11" s="27">
        <f>C11*D11</f>
        <v>21350.77</v>
      </c>
      <c r="F11" s="27"/>
      <c r="G11" s="27">
        <f>E11/12</f>
        <v>1779.2308333333333</v>
      </c>
      <c r="H11" s="27">
        <f>E11+F11+G11</f>
        <v>23130.000833333335</v>
      </c>
      <c r="I11" s="27">
        <f>19242*30.2%+(H11-19242)*15%</f>
        <v>6394.2841250000001</v>
      </c>
      <c r="J11" s="195"/>
      <c r="K11" s="27">
        <f>(6360/12+8060/24)/169163.4*B6</f>
        <v>208.7775182653773</v>
      </c>
      <c r="L11" s="27">
        <f>((3300+5700)/12)/169163.4*B6</f>
        <v>180.84674344450394</v>
      </c>
      <c r="M11" s="195"/>
      <c r="N11" s="195"/>
      <c r="O11" s="195"/>
      <c r="P11" s="195"/>
      <c r="Q11" s="184"/>
      <c r="R11" s="184"/>
      <c r="S11" s="186"/>
      <c r="T11" s="188"/>
      <c r="U11" s="25"/>
      <c r="V11" s="25"/>
      <c r="W11" s="25"/>
      <c r="X11" s="25"/>
      <c r="Y11" s="25"/>
      <c r="Z11" s="25"/>
      <c r="AA11" s="25"/>
    </row>
    <row r="12" spans="1:27" s="26" customFormat="1" ht="13.15" customHeight="1" x14ac:dyDescent="0.2">
      <c r="A12" s="197"/>
      <c r="B12" s="144" t="s">
        <v>56</v>
      </c>
      <c r="C12" s="27">
        <v>1</v>
      </c>
      <c r="D12" s="27">
        <v>65000</v>
      </c>
      <c r="E12" s="27">
        <f>C12*D12</f>
        <v>65000</v>
      </c>
      <c r="F12" s="27"/>
      <c r="G12" s="27">
        <f>E12/12</f>
        <v>5416.666666666667</v>
      </c>
      <c r="H12" s="27">
        <f>E12+F12+G12</f>
        <v>70416.666666666672</v>
      </c>
      <c r="I12" s="27">
        <f>19242*30.2%+(H12-19242)*15%</f>
        <v>13487.284</v>
      </c>
      <c r="J12" s="195"/>
      <c r="K12" s="27">
        <f>6360/12+8060/24</f>
        <v>865.83333333333326</v>
      </c>
      <c r="L12" s="27">
        <f>C12*5700/12</f>
        <v>475</v>
      </c>
      <c r="M12" s="195"/>
      <c r="N12" s="195"/>
      <c r="O12" s="195"/>
      <c r="P12" s="195"/>
      <c r="Q12" s="184"/>
      <c r="R12" s="184"/>
      <c r="S12" s="186"/>
      <c r="T12" s="188"/>
      <c r="U12" s="25"/>
      <c r="V12" s="25"/>
      <c r="W12" s="25"/>
      <c r="X12" s="25"/>
      <c r="Y12" s="25"/>
      <c r="Z12" s="25"/>
      <c r="AA12" s="25"/>
    </row>
    <row r="13" spans="1:27" s="18" customFormat="1" ht="14.45" customHeight="1" x14ac:dyDescent="0.2">
      <c r="A13" s="29"/>
      <c r="B13" s="20"/>
      <c r="C13" s="20"/>
      <c r="D13" s="20"/>
      <c r="E13" s="20"/>
      <c r="F13" s="20"/>
      <c r="G13" s="20"/>
      <c r="H13" s="20"/>
      <c r="I13" s="20"/>
      <c r="J13" s="113"/>
      <c r="K13" s="20"/>
      <c r="L13" s="20"/>
      <c r="M13" s="113"/>
      <c r="N13" s="113"/>
      <c r="O13" s="113"/>
      <c r="P13" s="113"/>
      <c r="Q13" s="115"/>
      <c r="R13" s="115"/>
      <c r="S13" s="116"/>
      <c r="T13" s="114"/>
      <c r="U13" s="17"/>
      <c r="V13" s="17"/>
      <c r="W13" s="17"/>
      <c r="X13" s="17"/>
      <c r="Y13" s="17"/>
      <c r="Z13" s="17"/>
      <c r="AA13" s="17"/>
    </row>
    <row r="14" spans="1:27" s="26" customFormat="1" ht="14.45" customHeight="1" x14ac:dyDescent="0.2">
      <c r="A14" s="30" t="s">
        <v>21</v>
      </c>
      <c r="B14" s="31" t="s">
        <v>57</v>
      </c>
      <c r="C14" s="31">
        <v>4</v>
      </c>
      <c r="D14" s="31">
        <f>35000/(B6+C3)*B6</f>
        <v>20914.98681511866</v>
      </c>
      <c r="E14" s="31">
        <f>C14*D14</f>
        <v>83659.947260474641</v>
      </c>
      <c r="F14" s="31">
        <f>36601/12</f>
        <v>3050.0833333333335</v>
      </c>
      <c r="G14" s="31">
        <f>E14/12</f>
        <v>6971.6622717062201</v>
      </c>
      <c r="H14" s="31">
        <f>E14+F14+G14</f>
        <v>93681.692865514196</v>
      </c>
      <c r="I14" s="31">
        <f>C14*19242*30.2%+(H14-19242*C14)*15%</f>
        <v>25751.389929827128</v>
      </c>
      <c r="J14" s="31">
        <f>20072.5</f>
        <v>20072.5</v>
      </c>
      <c r="K14" s="31">
        <f>(C14*((2500/12)+(3700/24)))/(B6+C3)*B6</f>
        <v>866.47802519777315</v>
      </c>
      <c r="L14" s="31">
        <f>(C14*2950/12)/(B6+C3)*B6</f>
        <v>587.61153432952437</v>
      </c>
      <c r="M14" s="31">
        <f>C40</f>
        <v>39299.160000000003</v>
      </c>
      <c r="N14" s="31">
        <f>H14+I14+J14+K14+L14+M14</f>
        <v>180258.83235486865</v>
      </c>
      <c r="O14" s="31">
        <f>N14*95%*1%</f>
        <v>1712.4589073712523</v>
      </c>
      <c r="P14" s="31">
        <f>(N14+O14)*10%</f>
        <v>18197.12912622399</v>
      </c>
      <c r="Q14" s="32">
        <f>(N14+O14+P14)/B6</f>
        <v>4.90726744140661</v>
      </c>
      <c r="R14" s="32">
        <v>3.92</v>
      </c>
      <c r="S14" s="33">
        <f>Q14-R14</f>
        <v>0.98726744140661005</v>
      </c>
      <c r="T14" s="34">
        <f>Q14/R14*100-100</f>
        <v>25.185393913433927</v>
      </c>
      <c r="U14" s="25"/>
      <c r="V14" s="25"/>
      <c r="W14" s="25"/>
      <c r="X14" s="25"/>
      <c r="Y14" s="25"/>
      <c r="Z14" s="25"/>
      <c r="AA14" s="25"/>
    </row>
    <row r="15" spans="1:27" s="41" customFormat="1" ht="12" x14ac:dyDescent="0.2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7"/>
      <c r="S15" s="38"/>
      <c r="T15" s="39"/>
      <c r="U15" s="40"/>
      <c r="V15" s="40"/>
      <c r="W15" s="40"/>
      <c r="X15" s="40"/>
      <c r="Y15" s="40"/>
      <c r="Z15" s="40"/>
      <c r="AA15" s="40"/>
    </row>
    <row r="16" spans="1:27" s="43" customForma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42"/>
      <c r="U16" s="42"/>
      <c r="V16" s="42"/>
      <c r="W16" s="42"/>
      <c r="X16" s="42"/>
      <c r="Y16" s="42"/>
      <c r="Z16" s="42"/>
      <c r="AA16" s="42"/>
    </row>
    <row r="17" spans="1:27" s="18" customFormat="1" ht="58.15" customHeight="1" x14ac:dyDescent="0.2">
      <c r="A17" s="12" t="s">
        <v>35</v>
      </c>
      <c r="B17" s="44" t="s">
        <v>58</v>
      </c>
      <c r="C17" s="14" t="s">
        <v>59</v>
      </c>
      <c r="D17" s="14" t="s">
        <v>60</v>
      </c>
      <c r="E17" s="14" t="s">
        <v>61</v>
      </c>
      <c r="F17" s="14" t="s">
        <v>62</v>
      </c>
      <c r="G17" s="14" t="s">
        <v>49</v>
      </c>
      <c r="H17" s="16" t="s">
        <v>50</v>
      </c>
      <c r="I17" s="136" t="s">
        <v>51</v>
      </c>
      <c r="J17" s="137" t="s">
        <v>52</v>
      </c>
      <c r="K17" s="132" t="s">
        <v>5</v>
      </c>
      <c r="L17" s="45" t="s">
        <v>6</v>
      </c>
      <c r="M17" s="122"/>
      <c r="N17" s="122"/>
      <c r="O17" s="122"/>
      <c r="P17" s="122"/>
      <c r="Q17" s="122"/>
      <c r="R17" s="122"/>
      <c r="S17" s="122"/>
    </row>
    <row r="18" spans="1:27" s="18" customFormat="1" ht="12" customHeight="1" x14ac:dyDescent="0.2">
      <c r="A18" s="46"/>
      <c r="B18" s="47"/>
      <c r="C18" s="47"/>
      <c r="D18" s="47"/>
      <c r="E18" s="47"/>
      <c r="F18" s="47"/>
      <c r="G18" s="47"/>
      <c r="H18" s="48"/>
      <c r="I18" s="138"/>
      <c r="J18" s="139"/>
      <c r="K18" s="133"/>
      <c r="L18" s="49"/>
      <c r="M18" s="122"/>
      <c r="N18" s="122"/>
      <c r="O18" s="122"/>
      <c r="P18" s="122"/>
      <c r="Q18" s="122"/>
      <c r="R18" s="122"/>
      <c r="S18" s="122"/>
    </row>
    <row r="19" spans="1:27" s="18" customFormat="1" ht="27" customHeight="1" x14ac:dyDescent="0.2">
      <c r="A19" s="52" t="s">
        <v>12</v>
      </c>
      <c r="B19" s="31">
        <f>67000*1</f>
        <v>67000</v>
      </c>
      <c r="C19" s="31">
        <f>90000/12</f>
        <v>7500</v>
      </c>
      <c r="D19" s="31"/>
      <c r="E19" s="31">
        <v>0</v>
      </c>
      <c r="F19" s="27">
        <f>B19+C19+D19+E19</f>
        <v>74500</v>
      </c>
      <c r="G19" s="27">
        <f t="shared" ref="G19" si="0">F19*95%*1%</f>
        <v>707.75</v>
      </c>
      <c r="H19" s="50">
        <f t="shared" ref="H19" si="1">(F19+G19)*10%</f>
        <v>7520.7750000000005</v>
      </c>
      <c r="I19" s="140">
        <f>(F19+G19+H19)/B6</f>
        <v>2.0281470794455529</v>
      </c>
      <c r="J19" s="141">
        <v>2.02</v>
      </c>
      <c r="K19" s="134">
        <f>I19-J19</f>
        <v>8.1470794455529294E-3</v>
      </c>
      <c r="L19" s="51">
        <f>I19/J19*100-100</f>
        <v>0.4033207646313457</v>
      </c>
      <c r="M19" s="123"/>
      <c r="N19" s="122"/>
      <c r="O19" s="122"/>
      <c r="P19" s="122"/>
      <c r="Q19" s="122"/>
      <c r="R19" s="122"/>
      <c r="S19" s="122"/>
    </row>
    <row r="20" spans="1:27" s="18" customFormat="1" ht="12" customHeight="1" x14ac:dyDescent="0.2">
      <c r="A20" s="53"/>
      <c r="B20" s="54"/>
      <c r="C20" s="54"/>
      <c r="D20" s="54"/>
      <c r="E20" s="54"/>
      <c r="F20" s="54"/>
      <c r="G20" s="28"/>
      <c r="H20" s="55"/>
      <c r="I20" s="142"/>
      <c r="J20" s="143"/>
      <c r="K20" s="135"/>
      <c r="L20" s="56"/>
      <c r="M20" s="122"/>
      <c r="N20" s="122"/>
      <c r="O20" s="122"/>
      <c r="P20" s="122"/>
      <c r="Q20" s="122"/>
      <c r="R20" s="122"/>
      <c r="S20" s="122"/>
      <c r="U20" s="17"/>
      <c r="V20" s="17"/>
      <c r="W20" s="17"/>
      <c r="X20" s="17"/>
      <c r="Y20" s="17"/>
      <c r="Z20" s="17"/>
      <c r="AA20" s="17"/>
    </row>
    <row r="21" spans="1:27" s="18" customFormat="1" ht="12" customHeight="1" x14ac:dyDescent="0.2">
      <c r="A21" s="124"/>
      <c r="B21" s="125"/>
      <c r="C21" s="126"/>
      <c r="D21" s="126"/>
      <c r="E21" s="127"/>
      <c r="F21" s="122"/>
      <c r="G21" s="125"/>
      <c r="H21" s="125"/>
      <c r="I21" s="122"/>
      <c r="J21" s="122"/>
      <c r="K21" s="122"/>
      <c r="L21" s="122"/>
      <c r="M21" s="127"/>
      <c r="N21" s="127"/>
      <c r="O21" s="127"/>
      <c r="P21" s="127"/>
      <c r="Q21" s="127"/>
      <c r="R21" s="127"/>
      <c r="S21" s="127"/>
      <c r="T21" s="17"/>
      <c r="U21" s="17"/>
      <c r="V21" s="17"/>
      <c r="W21" s="17"/>
      <c r="X21" s="17"/>
      <c r="Y21" s="17"/>
      <c r="Z21" s="17"/>
      <c r="AA21" s="17"/>
    </row>
    <row r="22" spans="1:27" s="43" customFormat="1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42"/>
      <c r="U22" s="42"/>
      <c r="V22" s="42"/>
      <c r="W22" s="42"/>
      <c r="X22" s="42"/>
      <c r="Y22" s="42"/>
      <c r="Z22" s="42"/>
      <c r="AA22" s="42"/>
    </row>
    <row r="23" spans="1:27" s="43" customFormat="1" ht="37.9" customHeight="1" x14ac:dyDescent="0.25">
      <c r="A23" s="189" t="s">
        <v>63</v>
      </c>
      <c r="B23" s="112" t="s">
        <v>35</v>
      </c>
      <c r="C23" s="57" t="s">
        <v>64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42"/>
      <c r="U23" s="42"/>
      <c r="V23" s="42"/>
      <c r="W23" s="42"/>
      <c r="X23" s="42"/>
      <c r="Y23" s="42"/>
      <c r="Z23" s="42"/>
      <c r="AA23" s="42"/>
    </row>
    <row r="24" spans="1:27" s="43" customFormat="1" ht="31.15" customHeight="1" x14ac:dyDescent="0.25">
      <c r="A24" s="190"/>
      <c r="B24" s="192" t="s">
        <v>53</v>
      </c>
      <c r="C24" s="193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42"/>
      <c r="U24" s="42"/>
      <c r="V24" s="42"/>
      <c r="W24" s="42"/>
      <c r="X24" s="42"/>
      <c r="Y24" s="42"/>
      <c r="Z24" s="42"/>
      <c r="AA24" s="42"/>
    </row>
    <row r="25" spans="1:27" s="61" customFormat="1" ht="25.15" customHeight="1" x14ac:dyDescent="0.2">
      <c r="A25" s="190"/>
      <c r="B25" s="58" t="s">
        <v>65</v>
      </c>
      <c r="C25" s="59">
        <v>1700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60"/>
      <c r="U25" s="60"/>
      <c r="V25" s="60"/>
      <c r="W25" s="60"/>
      <c r="X25" s="60"/>
      <c r="Y25" s="60"/>
      <c r="Z25" s="60"/>
      <c r="AA25" s="60"/>
    </row>
    <row r="26" spans="1:27" s="61" customFormat="1" ht="25.15" customHeight="1" x14ac:dyDescent="0.2">
      <c r="A26" s="190"/>
      <c r="B26" s="62" t="s">
        <v>66</v>
      </c>
      <c r="C26" s="63">
        <v>14365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60"/>
      <c r="U26" s="60"/>
      <c r="V26" s="60"/>
      <c r="W26" s="60"/>
      <c r="X26" s="60"/>
      <c r="Y26" s="60"/>
      <c r="Z26" s="60"/>
      <c r="AA26" s="60"/>
    </row>
    <row r="27" spans="1:27" s="61" customFormat="1" ht="25.15" customHeight="1" x14ac:dyDescent="0.2">
      <c r="A27" s="190"/>
      <c r="B27" s="62" t="s">
        <v>67</v>
      </c>
      <c r="C27" s="63"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60"/>
      <c r="U27" s="60"/>
      <c r="V27" s="60"/>
      <c r="W27" s="60"/>
      <c r="X27" s="60"/>
      <c r="Y27" s="60"/>
      <c r="Z27" s="60"/>
      <c r="AA27" s="60"/>
    </row>
    <row r="28" spans="1:27" s="61" customFormat="1" ht="51.6" customHeight="1" x14ac:dyDescent="0.2">
      <c r="A28" s="190"/>
      <c r="B28" s="62" t="s">
        <v>68</v>
      </c>
      <c r="C28" s="63"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60"/>
      <c r="U28" s="60"/>
      <c r="V28" s="60"/>
      <c r="W28" s="60"/>
      <c r="X28" s="60"/>
      <c r="Y28" s="60"/>
      <c r="Z28" s="60"/>
      <c r="AA28" s="60"/>
    </row>
    <row r="29" spans="1:27" s="61" customFormat="1" ht="25.15" customHeight="1" x14ac:dyDescent="0.2">
      <c r="A29" s="190"/>
      <c r="B29" s="62" t="s">
        <v>69</v>
      </c>
      <c r="C29" s="63">
        <v>4000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60"/>
      <c r="U29" s="60"/>
      <c r="V29" s="60"/>
      <c r="W29" s="60"/>
      <c r="X29" s="60"/>
      <c r="Y29" s="60"/>
      <c r="Z29" s="60"/>
      <c r="AA29" s="60"/>
    </row>
    <row r="30" spans="1:27" s="64" customFormat="1" ht="60" x14ac:dyDescent="0.2">
      <c r="A30" s="190"/>
      <c r="B30" s="62" t="s">
        <v>70</v>
      </c>
      <c r="C30" s="63">
        <f>30000/12</f>
        <v>2500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0"/>
      <c r="U30" s="10"/>
      <c r="V30" s="10"/>
      <c r="W30" s="10"/>
      <c r="X30" s="10"/>
      <c r="Y30" s="10"/>
      <c r="Z30" s="10"/>
      <c r="AA30" s="10"/>
    </row>
    <row r="31" spans="1:27" s="64" customFormat="1" ht="36" x14ac:dyDescent="0.2">
      <c r="A31" s="190"/>
      <c r="B31" s="65" t="s">
        <v>71</v>
      </c>
      <c r="C31" s="66">
        <f>250000/36</f>
        <v>6944.4444444444443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0"/>
      <c r="U31" s="10"/>
      <c r="V31" s="10"/>
      <c r="W31" s="10"/>
      <c r="X31" s="10"/>
      <c r="Y31" s="10"/>
      <c r="Z31" s="10"/>
      <c r="AA31" s="10"/>
    </row>
    <row r="32" spans="1:27" s="64" customFormat="1" ht="36" x14ac:dyDescent="0.2">
      <c r="A32" s="190"/>
      <c r="B32" s="65" t="s">
        <v>72</v>
      </c>
      <c r="C32" s="66">
        <f>8000/12</f>
        <v>666.66666666666663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0"/>
      <c r="U32" s="10"/>
      <c r="V32" s="10"/>
      <c r="W32" s="10"/>
      <c r="X32" s="10"/>
      <c r="Y32" s="10"/>
      <c r="Z32" s="10"/>
      <c r="AA32" s="10"/>
    </row>
    <row r="33" spans="1:29" s="64" customFormat="1" ht="26.45" customHeight="1" x14ac:dyDescent="0.2">
      <c r="A33" s="190"/>
      <c r="B33" s="62" t="s">
        <v>73</v>
      </c>
      <c r="C33" s="63">
        <f>85000/12</f>
        <v>7083.333333333333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0"/>
      <c r="U33" s="10"/>
      <c r="V33" s="10"/>
      <c r="W33" s="10"/>
      <c r="X33" s="10"/>
      <c r="Y33" s="10"/>
      <c r="Z33" s="10"/>
      <c r="AA33" s="10"/>
    </row>
    <row r="34" spans="1:29" s="64" customFormat="1" ht="26.45" customHeight="1" x14ac:dyDescent="0.2">
      <c r="A34" s="190"/>
      <c r="B34" s="145" t="s">
        <v>74</v>
      </c>
      <c r="C34" s="146">
        <f>158900/12</f>
        <v>13241.666666666666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0"/>
      <c r="U34" s="10"/>
      <c r="V34" s="10"/>
      <c r="W34" s="10"/>
      <c r="X34" s="10"/>
      <c r="Y34" s="10"/>
      <c r="Z34" s="10"/>
      <c r="AA34" s="10"/>
    </row>
    <row r="35" spans="1:29" s="8" customFormat="1" ht="26.45" customHeight="1" x14ac:dyDescent="0.25">
      <c r="A35" s="190"/>
      <c r="B35" s="67" t="s">
        <v>75</v>
      </c>
      <c r="C35" s="68">
        <f>SUM(C25:C34)</f>
        <v>50501.111111111109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AB35" s="9"/>
      <c r="AC35" s="9"/>
    </row>
    <row r="36" spans="1:29" ht="25.15" customHeight="1" x14ac:dyDescent="0.25">
      <c r="A36" s="190"/>
      <c r="B36" s="192" t="s">
        <v>21</v>
      </c>
      <c r="C36" s="193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29" ht="25.15" customHeight="1" x14ac:dyDescent="0.25">
      <c r="A37" s="190"/>
      <c r="B37" s="62" t="s">
        <v>76</v>
      </c>
      <c r="C37" s="63">
        <v>5000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29" ht="25.15" customHeight="1" x14ac:dyDescent="0.25">
      <c r="A38" s="190"/>
      <c r="B38" s="62" t="s">
        <v>77</v>
      </c>
      <c r="C38" s="63">
        <v>1667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29" ht="39" customHeight="1" x14ac:dyDescent="0.25">
      <c r="A39" s="190"/>
      <c r="B39" s="110" t="s">
        <v>78</v>
      </c>
      <c r="C39" s="111">
        <f>0.8*B6</f>
        <v>32632.16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29" ht="25.15" customHeight="1" x14ac:dyDescent="0.25">
      <c r="A40" s="191"/>
      <c r="B40" s="67" t="s">
        <v>75</v>
      </c>
      <c r="C40" s="68">
        <f>SUM(C37:C39)</f>
        <v>39299.160000000003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1:29" x14ac:dyDescent="0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1:29" x14ac:dyDescent="0.2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1:29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1:29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1:29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1:29" x14ac:dyDescent="0.2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1:29" x14ac:dyDescent="0.2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</sheetData>
  <mergeCells count="13">
    <mergeCell ref="R10:R12"/>
    <mergeCell ref="S10:S12"/>
    <mergeCell ref="T10:T12"/>
    <mergeCell ref="A23:A40"/>
    <mergeCell ref="B24:C24"/>
    <mergeCell ref="B36:C36"/>
    <mergeCell ref="P10:P12"/>
    <mergeCell ref="Q10:Q12"/>
    <mergeCell ref="A10:A12"/>
    <mergeCell ref="J10:J12"/>
    <mergeCell ref="M10:M12"/>
    <mergeCell ref="N10:N12"/>
    <mergeCell ref="O10:O12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10" sqref="A10:B10"/>
    </sheetView>
  </sheetViews>
  <sheetFormatPr defaultColWidth="8.85546875" defaultRowHeight="15" x14ac:dyDescent="0.25"/>
  <cols>
    <col min="1" max="1" width="23.42578125" style="8" customWidth="1"/>
    <col min="2" max="2" width="26.42578125" style="8" customWidth="1"/>
    <col min="3" max="4" width="9" style="8" customWidth="1"/>
    <col min="5" max="5" width="10.5703125" style="8" customWidth="1"/>
    <col min="6" max="6" width="22.7109375" style="8" customWidth="1"/>
    <col min="7" max="10" width="14.42578125" style="8" customWidth="1"/>
    <col min="11" max="11" width="14.7109375" style="8" customWidth="1"/>
    <col min="12" max="12" width="11.42578125" style="8" customWidth="1"/>
    <col min="13" max="13" width="13.85546875" style="8" customWidth="1"/>
    <col min="14" max="14" width="13" style="8" bestFit="1" customWidth="1"/>
    <col min="15" max="16384" width="8.85546875" style="8"/>
  </cols>
  <sheetData>
    <row r="1" spans="1:14" x14ac:dyDescent="0.25">
      <c r="A1" s="11" t="s">
        <v>79</v>
      </c>
    </row>
    <row r="3" spans="1:14" s="70" customFormat="1" ht="12.75" x14ac:dyDescent="0.2">
      <c r="A3" s="69" t="s">
        <v>80</v>
      </c>
    </row>
    <row r="4" spans="1:14" s="70" customFormat="1" ht="25.5" x14ac:dyDescent="0.2">
      <c r="A4" s="70" t="s">
        <v>32</v>
      </c>
      <c r="B4" s="71">
        <v>40790.199999999997</v>
      </c>
      <c r="C4" s="72"/>
      <c r="F4" s="73"/>
      <c r="G4" s="74" t="s">
        <v>81</v>
      </c>
      <c r="H4" s="75" t="s">
        <v>82</v>
      </c>
      <c r="I4" s="76" t="s">
        <v>83</v>
      </c>
      <c r="J4" s="77" t="s">
        <v>84</v>
      </c>
    </row>
    <row r="5" spans="1:14" s="70" customFormat="1" ht="12.75" x14ac:dyDescent="0.2">
      <c r="A5" s="70" t="s">
        <v>33</v>
      </c>
      <c r="B5" s="71">
        <v>0</v>
      </c>
      <c r="C5" s="72"/>
      <c r="F5" s="78" t="s">
        <v>85</v>
      </c>
      <c r="G5" s="79">
        <v>4</v>
      </c>
      <c r="H5" s="80">
        <v>21</v>
      </c>
      <c r="I5" s="80">
        <v>1000</v>
      </c>
      <c r="J5" s="81">
        <v>1.6</v>
      </c>
    </row>
    <row r="6" spans="1:14" s="70" customFormat="1" ht="12.75" x14ac:dyDescent="0.2">
      <c r="A6" s="70" t="s">
        <v>86</v>
      </c>
      <c r="B6" s="71">
        <v>0</v>
      </c>
      <c r="C6" s="72"/>
      <c r="F6" s="82" t="s">
        <v>87</v>
      </c>
      <c r="G6" s="83">
        <v>4</v>
      </c>
      <c r="H6" s="84">
        <v>21</v>
      </c>
      <c r="I6" s="84">
        <v>630</v>
      </c>
      <c r="J6" s="85">
        <v>1.6</v>
      </c>
    </row>
    <row r="7" spans="1:14" s="70" customFormat="1" ht="12.75" x14ac:dyDescent="0.2">
      <c r="B7" s="86">
        <f>SUM(B4:B6)</f>
        <v>40790.199999999997</v>
      </c>
      <c r="F7" s="87" t="s">
        <v>87</v>
      </c>
      <c r="G7" s="88">
        <v>4</v>
      </c>
      <c r="H7" s="89">
        <v>21</v>
      </c>
      <c r="I7" s="89">
        <v>400</v>
      </c>
      <c r="J7" s="90">
        <v>1.6</v>
      </c>
    </row>
    <row r="8" spans="1:14" s="70" customFormat="1" ht="12.75" x14ac:dyDescent="0.2"/>
    <row r="9" spans="1:14" s="70" customFormat="1" x14ac:dyDescent="0.25">
      <c r="B9" s="86"/>
      <c r="F9" s="8"/>
      <c r="G9" s="8"/>
      <c r="H9" s="8"/>
      <c r="I9" s="8"/>
      <c r="J9" s="8"/>
    </row>
    <row r="10" spans="1:14" s="70" customFormat="1" x14ac:dyDescent="0.25">
      <c r="A10" s="70" t="s">
        <v>88</v>
      </c>
      <c r="B10" s="71">
        <f>491.3+432.8+395.2+461.9</f>
        <v>1781.1999999999998</v>
      </c>
      <c r="G10" s="8"/>
      <c r="H10" s="8"/>
      <c r="I10" s="91"/>
      <c r="J10" s="91"/>
    </row>
    <row r="11" spans="1:14" x14ac:dyDescent="0.25">
      <c r="F11" s="91"/>
      <c r="G11" s="91"/>
      <c r="H11" s="91"/>
      <c r="I11" s="92"/>
      <c r="J11" s="93"/>
    </row>
    <row r="12" spans="1:14" x14ac:dyDescent="0.25">
      <c r="A12" s="11" t="s">
        <v>89</v>
      </c>
      <c r="F12" s="91"/>
      <c r="G12" s="91"/>
      <c r="H12" s="91"/>
      <c r="I12" s="91"/>
      <c r="J12" s="91"/>
      <c r="K12" s="91"/>
      <c r="L12" s="91"/>
      <c r="M12" s="91"/>
      <c r="N12" s="91"/>
    </row>
    <row r="13" spans="1:14" s="91" customFormat="1" ht="12.75" x14ac:dyDescent="0.2">
      <c r="A13" s="200" t="s">
        <v>90</v>
      </c>
      <c r="B13" s="201"/>
      <c r="C13" s="201"/>
      <c r="D13" s="201"/>
      <c r="E13" s="94">
        <v>6017.79</v>
      </c>
      <c r="F13" s="93"/>
    </row>
    <row r="14" spans="1:14" s="91" customFormat="1" ht="12.75" x14ac:dyDescent="0.2">
      <c r="A14" s="202" t="s">
        <v>91</v>
      </c>
      <c r="B14" s="203"/>
      <c r="C14" s="203"/>
      <c r="D14" s="203"/>
      <c r="E14" s="95">
        <v>4.4999999999999998E-2</v>
      </c>
      <c r="F14" s="92"/>
    </row>
    <row r="15" spans="1:14" s="91" customFormat="1" ht="12.75" x14ac:dyDescent="0.2">
      <c r="A15" s="202" t="s">
        <v>92</v>
      </c>
      <c r="B15" s="203"/>
      <c r="C15" s="203"/>
      <c r="D15" s="203"/>
      <c r="E15" s="95">
        <f>G5</f>
        <v>4</v>
      </c>
      <c r="G15" s="96"/>
      <c r="H15" s="93"/>
      <c r="I15" s="97"/>
      <c r="J15" s="96"/>
    </row>
    <row r="16" spans="1:14" s="91" customFormat="1" ht="12.75" x14ac:dyDescent="0.2">
      <c r="A16" s="198" t="s">
        <v>93</v>
      </c>
      <c r="B16" s="199"/>
      <c r="C16" s="199"/>
      <c r="D16" s="199"/>
      <c r="E16" s="98">
        <f>H5</f>
        <v>21</v>
      </c>
      <c r="G16" s="96"/>
      <c r="H16" s="93"/>
      <c r="I16" s="97"/>
      <c r="J16" s="96"/>
    </row>
    <row r="17" spans="1:11" s="91" customFormat="1" ht="22.15" customHeight="1" x14ac:dyDescent="0.25">
      <c r="A17" s="99" t="s">
        <v>94</v>
      </c>
      <c r="B17" s="100"/>
      <c r="C17" s="100"/>
      <c r="D17" s="100"/>
      <c r="E17" s="101">
        <f>E13*(1+E14*(E16-2))*E15</f>
        <v>44652.001799999998</v>
      </c>
      <c r="F17" s="102"/>
      <c r="G17" s="96"/>
      <c r="H17" s="93"/>
      <c r="I17" s="97"/>
      <c r="J17" s="96"/>
      <c r="K17" s="96"/>
    </row>
    <row r="18" spans="1:11" s="91" customFormat="1" ht="12.75" x14ac:dyDescent="0.2">
      <c r="B18" s="93"/>
      <c r="F18" s="97"/>
      <c r="G18" s="96"/>
      <c r="H18" s="93"/>
      <c r="I18" s="97"/>
      <c r="J18" s="96"/>
      <c r="K18" s="96"/>
    </row>
    <row r="19" spans="1:11" s="91" customFormat="1" ht="12.75" x14ac:dyDescent="0.2">
      <c r="I19" s="92"/>
    </row>
    <row r="20" spans="1:11" s="91" customFormat="1" ht="14.25" x14ac:dyDescent="0.2">
      <c r="A20" s="11" t="s">
        <v>95</v>
      </c>
    </row>
    <row r="21" spans="1:11" s="91" customFormat="1" ht="12.75" x14ac:dyDescent="0.2">
      <c r="A21" s="200" t="s">
        <v>90</v>
      </c>
      <c r="B21" s="201"/>
      <c r="C21" s="201"/>
      <c r="D21" s="201"/>
      <c r="E21" s="94">
        <v>6017.79</v>
      </c>
      <c r="F21" s="93"/>
    </row>
    <row r="22" spans="1:11" s="91" customFormat="1" ht="12.75" x14ac:dyDescent="0.2">
      <c r="A22" s="202" t="s">
        <v>91</v>
      </c>
      <c r="B22" s="203"/>
      <c r="C22" s="203"/>
      <c r="D22" s="203"/>
      <c r="E22" s="95">
        <v>4.4999999999999998E-2</v>
      </c>
      <c r="F22" s="92"/>
    </row>
    <row r="23" spans="1:11" s="91" customFormat="1" ht="12.75" x14ac:dyDescent="0.2">
      <c r="A23" s="202" t="s">
        <v>92</v>
      </c>
      <c r="B23" s="203"/>
      <c r="C23" s="203"/>
      <c r="D23" s="203"/>
      <c r="E23" s="95">
        <f>G6</f>
        <v>4</v>
      </c>
    </row>
    <row r="24" spans="1:11" s="91" customFormat="1" ht="12.75" x14ac:dyDescent="0.2">
      <c r="A24" s="198" t="s">
        <v>93</v>
      </c>
      <c r="B24" s="199"/>
      <c r="C24" s="199"/>
      <c r="D24" s="199"/>
      <c r="E24" s="98">
        <f>H6</f>
        <v>21</v>
      </c>
    </row>
    <row r="25" spans="1:11" s="91" customFormat="1" ht="22.15" customHeight="1" x14ac:dyDescent="0.2">
      <c r="A25" s="103" t="s">
        <v>96</v>
      </c>
      <c r="B25" s="100"/>
      <c r="C25" s="100"/>
      <c r="D25" s="100"/>
      <c r="E25" s="101">
        <f>E21*(1+E22*(E24-2))*E23</f>
        <v>44652.001799999998</v>
      </c>
      <c r="F25" s="102"/>
    </row>
    <row r="26" spans="1:11" s="91" customFormat="1" ht="12.75" x14ac:dyDescent="0.2">
      <c r="F26" s="97"/>
    </row>
    <row r="27" spans="1:11" s="91" customFormat="1" ht="12.75" x14ac:dyDescent="0.2">
      <c r="I27" s="92"/>
    </row>
    <row r="28" spans="1:11" s="91" customFormat="1" ht="14.25" x14ac:dyDescent="0.2">
      <c r="A28" s="11" t="s">
        <v>97</v>
      </c>
    </row>
    <row r="29" spans="1:11" s="91" customFormat="1" ht="12.75" x14ac:dyDescent="0.2">
      <c r="A29" s="200" t="s">
        <v>90</v>
      </c>
      <c r="B29" s="201"/>
      <c r="C29" s="201"/>
      <c r="D29" s="201"/>
      <c r="E29" s="94">
        <v>6017.79</v>
      </c>
      <c r="F29" s="93"/>
    </row>
    <row r="30" spans="1:11" s="91" customFormat="1" ht="12.75" x14ac:dyDescent="0.2">
      <c r="A30" s="202" t="s">
        <v>91</v>
      </c>
      <c r="B30" s="203"/>
      <c r="C30" s="203"/>
      <c r="D30" s="203"/>
      <c r="E30" s="95">
        <v>4.4999999999999998E-2</v>
      </c>
      <c r="F30" s="92"/>
    </row>
    <row r="31" spans="1:11" s="91" customFormat="1" ht="12.75" x14ac:dyDescent="0.2">
      <c r="A31" s="202" t="s">
        <v>92</v>
      </c>
      <c r="B31" s="203"/>
      <c r="C31" s="203"/>
      <c r="D31" s="203"/>
      <c r="E31" s="95">
        <f>G7</f>
        <v>4</v>
      </c>
    </row>
    <row r="32" spans="1:11" s="91" customFormat="1" ht="12.75" x14ac:dyDescent="0.2">
      <c r="A32" s="198" t="s">
        <v>93</v>
      </c>
      <c r="B32" s="199"/>
      <c r="C32" s="199"/>
      <c r="D32" s="199"/>
      <c r="E32" s="98">
        <f>H7</f>
        <v>21</v>
      </c>
    </row>
    <row r="33" spans="1:13" s="91" customFormat="1" ht="20.45" customHeight="1" x14ac:dyDescent="0.2">
      <c r="A33" s="103" t="s">
        <v>96</v>
      </c>
      <c r="B33" s="100"/>
      <c r="C33" s="100"/>
      <c r="D33" s="100"/>
      <c r="E33" s="101">
        <f>E29*(1+E30*(E32-2))*E31</f>
        <v>44652.001799999998</v>
      </c>
    </row>
    <row r="34" spans="1:13" s="91" customFormat="1" ht="12.75" x14ac:dyDescent="0.2"/>
    <row r="35" spans="1:13" s="91" customFormat="1" ht="12.75" x14ac:dyDescent="0.2">
      <c r="A35" s="91" t="s">
        <v>98</v>
      </c>
      <c r="B35" s="91" t="s">
        <v>99</v>
      </c>
      <c r="E35" s="91">
        <f>3333+6000/12+1800/12</f>
        <v>3983</v>
      </c>
      <c r="F35" s="97"/>
      <c r="G35" s="70"/>
      <c r="H35" s="70"/>
      <c r="I35" s="70"/>
      <c r="J35" s="70"/>
    </row>
    <row r="36" spans="1:13" x14ac:dyDescent="0.25">
      <c r="F36" s="91"/>
      <c r="G36" s="96"/>
      <c r="H36" s="104"/>
      <c r="I36" s="104"/>
      <c r="J36" s="96"/>
    </row>
    <row r="37" spans="1:13" s="70" customFormat="1" ht="12.75" x14ac:dyDescent="0.2">
      <c r="A37" s="69" t="s">
        <v>100</v>
      </c>
      <c r="E37" s="86">
        <f>E17+E25+E33+E35</f>
        <v>137939.00539999999</v>
      </c>
      <c r="G37" s="105"/>
      <c r="H37" s="92"/>
      <c r="I37" s="92"/>
      <c r="J37" s="105"/>
    </row>
    <row r="38" spans="1:13" s="104" customFormat="1" x14ac:dyDescent="0.25">
      <c r="A38" s="106"/>
      <c r="B38" s="92"/>
      <c r="C38" s="107"/>
      <c r="E38" s="91"/>
      <c r="F38" s="8"/>
      <c r="G38" s="8"/>
      <c r="H38" s="8"/>
      <c r="I38" s="8"/>
      <c r="J38" s="8"/>
      <c r="K38" s="96"/>
    </row>
    <row r="39" spans="1:13" s="109" customFormat="1" x14ac:dyDescent="0.25">
      <c r="A39" s="108" t="s">
        <v>101</v>
      </c>
      <c r="E39" s="92">
        <f>E37/(B4+B5-B10)</f>
        <v>3.5360815555384653</v>
      </c>
      <c r="F39" s="104"/>
      <c r="G39" s="8"/>
      <c r="H39" s="8"/>
      <c r="I39" s="8"/>
      <c r="J39" s="8"/>
      <c r="K39" s="105"/>
      <c r="M39" s="92"/>
    </row>
    <row r="40" spans="1:13" x14ac:dyDescent="0.25">
      <c r="F40" s="92"/>
    </row>
  </sheetData>
  <mergeCells count="12">
    <mergeCell ref="A32:D32"/>
    <mergeCell ref="A13:D13"/>
    <mergeCell ref="A14:D14"/>
    <mergeCell ref="A15:D15"/>
    <mergeCell ref="A16:D16"/>
    <mergeCell ref="A21:D21"/>
    <mergeCell ref="A22:D22"/>
    <mergeCell ref="A23:D23"/>
    <mergeCell ref="A24:D24"/>
    <mergeCell ref="A29:D29"/>
    <mergeCell ref="A30:D30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Тарифы для ОСС_жилье</vt:lpstr>
      <vt:lpstr>Разъяснения</vt:lpstr>
      <vt:lpstr>Лифты_формула</vt:lpstr>
      <vt:lpstr>Разъяснения!Область_печати</vt:lpstr>
      <vt:lpstr>'Тарифы для ОСС_жилье'!Область_печати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Сентякова Екатерина</dc:creator>
  <cp:keywords/>
  <dc:description/>
  <cp:lastModifiedBy>user</cp:lastModifiedBy>
  <cp:revision/>
  <cp:lastPrinted>2024-02-06T13:58:47Z</cp:lastPrinted>
  <dcterms:created xsi:type="dcterms:W3CDTF">2022-04-18T11:48:26Z</dcterms:created>
  <dcterms:modified xsi:type="dcterms:W3CDTF">2024-02-06T13:59:15Z</dcterms:modified>
  <cp:category/>
  <cp:contentStatus/>
</cp:coreProperties>
</file>